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da\Documents\半田康二税理士事務所\ふるさと納税\"/>
    </mc:Choice>
  </mc:AlternateContent>
  <xr:revisionPtr revIDLastSave="0" documentId="13_ncr:1_{8443891A-CB13-4F2D-B73D-9BBE68564D37}" xr6:coauthVersionLast="45" xr6:coauthVersionMax="45" xr10:uidLastSave="{00000000-0000-0000-0000-000000000000}"/>
  <bookViews>
    <workbookView xWindow="0" yWindow="1875" windowWidth="28800" windowHeight="15525" activeTab="1" xr2:uid="{177CDF84-9340-4C8D-A022-78FFE7C670A6}"/>
  </bookViews>
  <sheets>
    <sheet name="現況" sheetId="8" r:id="rId1"/>
    <sheet name="ふるさと納税実施" sheetId="10" r:id="rId2"/>
    <sheet name="税率表等" sheetId="13" r:id="rId3"/>
  </sheets>
  <definedNames>
    <definedName name="_xlnm.Print_Area" localSheetId="1">ふるさと納税実施!$A$1:$K$60</definedName>
    <definedName name="_xlnm.Print_Area" localSheetId="0">現況!$A$1:$K$47</definedName>
    <definedName name="_xlnm.Print_Area" localSheetId="2">税率表等!$A$1:$H$34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0" l="1"/>
  <c r="B16" i="10"/>
  <c r="B14" i="10"/>
  <c r="A2" i="10"/>
  <c r="A3" i="10"/>
  <c r="A4" i="8"/>
  <c r="C17" i="8"/>
  <c r="C17" i="10" l="1"/>
  <c r="A4" i="10"/>
  <c r="B11" i="8" l="1"/>
  <c r="E11" i="8" s="1"/>
  <c r="H11" i="8" s="1"/>
  <c r="E44" i="13" l="1"/>
  <c r="E43" i="13"/>
  <c r="E42" i="13"/>
  <c r="E41" i="13"/>
  <c r="E40" i="13"/>
  <c r="E39" i="13"/>
  <c r="E38" i="13"/>
  <c r="A44" i="13"/>
  <c r="A43" i="13"/>
  <c r="A42" i="13"/>
  <c r="A41" i="13"/>
  <c r="A40" i="13"/>
  <c r="A39" i="13"/>
  <c r="H20" i="10" l="1"/>
  <c r="H19" i="10"/>
  <c r="F17" i="10" l="1"/>
  <c r="I17" i="10" s="1"/>
  <c r="E16" i="10"/>
  <c r="H16" i="10" s="1"/>
  <c r="E15" i="10"/>
  <c r="H15" i="10" s="1"/>
  <c r="H14" i="10"/>
  <c r="F21" i="8"/>
  <c r="E15" i="8"/>
  <c r="H15" i="8" s="1"/>
  <c r="F17" i="8" l="1"/>
  <c r="I17" i="8" s="1"/>
  <c r="E16" i="8"/>
  <c r="H16" i="8" s="1"/>
  <c r="H14" i="8"/>
  <c r="B46" i="8"/>
  <c r="C12" i="8" s="1"/>
  <c r="B10" i="8" s="1"/>
  <c r="A32" i="13"/>
  <c r="A34" i="13"/>
  <c r="A33" i="13"/>
  <c r="A31" i="13"/>
  <c r="A18" i="13"/>
  <c r="A19" i="13"/>
  <c r="A20" i="13"/>
  <c r="A21" i="13"/>
  <c r="A22" i="13"/>
  <c r="A23" i="13"/>
  <c r="A24" i="13"/>
  <c r="A25" i="13"/>
  <c r="A26" i="13"/>
  <c r="A17" i="13"/>
  <c r="A8" i="13"/>
  <c r="A9" i="13"/>
  <c r="A10" i="13"/>
  <c r="A11" i="13"/>
  <c r="A12" i="13"/>
  <c r="A7" i="13"/>
  <c r="E29" i="10" l="1"/>
  <c r="E28" i="10"/>
  <c r="H28" i="10" s="1"/>
  <c r="E26" i="10"/>
  <c r="H26" i="10" s="1"/>
  <c r="B30" i="10"/>
  <c r="B28" i="10"/>
  <c r="B19" i="10"/>
  <c r="C37" i="10" s="1"/>
  <c r="I35" i="10"/>
  <c r="F35" i="10"/>
  <c r="C21" i="8"/>
  <c r="H28" i="8"/>
  <c r="C23" i="8" l="1"/>
  <c r="B29" i="10"/>
  <c r="H29" i="10" s="1"/>
  <c r="B27" i="10"/>
  <c r="E27" i="10" s="1"/>
  <c r="H27" i="10" s="1"/>
  <c r="B26" i="10"/>
  <c r="B25" i="10"/>
  <c r="B20" i="10"/>
  <c r="C21" i="10" s="1"/>
  <c r="B9" i="10"/>
  <c r="E27" i="8"/>
  <c r="H27" i="8" s="1"/>
  <c r="B54" i="10" l="1"/>
  <c r="B11" i="10"/>
  <c r="E11" i="10" s="1"/>
  <c r="H11" i="10" s="1"/>
  <c r="C12" i="10" l="1"/>
  <c r="B10" i="10" s="1"/>
  <c r="E10" i="10" s="1"/>
  <c r="H10" i="10" s="1"/>
  <c r="H29" i="8"/>
  <c r="E30" i="10"/>
  <c r="H30" i="10" s="1"/>
  <c r="E25" i="10"/>
  <c r="H25" i="10" s="1"/>
  <c r="F21" i="10"/>
  <c r="I21" i="10" s="1"/>
  <c r="E9" i="10"/>
  <c r="H9" i="10" s="1"/>
  <c r="E30" i="8"/>
  <c r="H30" i="8" s="1"/>
  <c r="E25" i="8"/>
  <c r="H25" i="8" s="1"/>
  <c r="H20" i="8"/>
  <c r="H19" i="8"/>
  <c r="I21" i="8" s="1"/>
  <c r="E10" i="8"/>
  <c r="H10" i="8" s="1"/>
  <c r="E9" i="8"/>
  <c r="H9" i="8" s="1"/>
  <c r="H7" i="8"/>
  <c r="E7" i="8"/>
  <c r="I32" i="10" l="1"/>
  <c r="C23" i="10"/>
  <c r="F32" i="10"/>
  <c r="I32" i="8"/>
  <c r="F32" i="8"/>
  <c r="F12" i="10" l="1"/>
  <c r="I12" i="10" s="1"/>
  <c r="F23" i="10"/>
  <c r="F12" i="8"/>
  <c r="I12" i="8" s="1"/>
  <c r="I23" i="10" l="1"/>
  <c r="I33" i="10" s="1"/>
  <c r="F33" i="10"/>
  <c r="F34" i="10" s="1"/>
  <c r="F36" i="10" s="1"/>
  <c r="F23" i="8"/>
  <c r="B31" i="8"/>
  <c r="C32" i="8" l="1"/>
  <c r="C33" i="8" s="1"/>
  <c r="I34" i="10"/>
  <c r="I36" i="10" s="1"/>
  <c r="I23" i="8"/>
  <c r="F33" i="8"/>
  <c r="I39" i="8" l="1"/>
  <c r="F39" i="8"/>
  <c r="C34" i="8"/>
  <c r="C37" i="8"/>
  <c r="F34" i="8"/>
  <c r="F36" i="8" s="1"/>
  <c r="I33" i="8"/>
  <c r="F40" i="8" l="1"/>
  <c r="C38" i="8"/>
  <c r="C42" i="8" s="1"/>
  <c r="C43" i="8" s="1"/>
  <c r="C44" i="8" s="1"/>
  <c r="C46" i="10" s="1"/>
  <c r="I34" i="8"/>
  <c r="I36" i="8" s="1"/>
  <c r="I40" i="8" l="1"/>
  <c r="I38" i="8"/>
  <c r="F38" i="8"/>
  <c r="I42" i="8" l="1"/>
  <c r="I44" i="8" s="1"/>
  <c r="I46" i="10" s="1"/>
  <c r="F42" i="8"/>
  <c r="F44" i="8" s="1"/>
  <c r="F46" i="10" s="1"/>
  <c r="K44" i="8" l="1"/>
  <c r="K46" i="10"/>
  <c r="K49" i="10"/>
  <c r="K51" i="10"/>
  <c r="E7" i="10"/>
  <c r="B31" i="10"/>
  <c r="C32" i="10" s="1"/>
  <c r="C33" i="10" s="1"/>
  <c r="H7" i="10"/>
  <c r="I40" i="10" l="1"/>
  <c r="F56" i="10"/>
  <c r="F40" i="10"/>
  <c r="C34" i="10"/>
  <c r="I39" i="10"/>
  <c r="F39" i="10"/>
  <c r="C38" i="10" l="1"/>
  <c r="C42" i="10" s="1"/>
  <c r="C43" i="10" l="1"/>
  <c r="C44" i="10" s="1"/>
  <c r="I38" i="10"/>
  <c r="I42" i="10" s="1"/>
  <c r="I44" i="10" s="1"/>
  <c r="I47" i="10" s="1"/>
  <c r="I48" i="10" s="1"/>
  <c r="F38" i="10"/>
  <c r="F42" i="10" s="1"/>
  <c r="F44" i="10" s="1"/>
  <c r="F47" i="10" s="1"/>
  <c r="F48" i="10" s="1"/>
  <c r="C47" i="10" l="1"/>
  <c r="K44" i="10"/>
  <c r="K47" i="10" l="1"/>
  <c r="C48" i="10"/>
  <c r="K48" i="10" s="1"/>
  <c r="K50" i="10" s="1"/>
  <c r="K5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半田康二</author>
  </authors>
  <commentList>
    <comment ref="E19" authorId="0" shapeId="0" xr:uid="{46B7A91E-0EB1-4FA2-89D1-E9103ABD91D9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H19" authorId="0" shapeId="0" xr:uid="{6E6BABE1-E033-4D15-91FE-988E0E63F3F5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E20" authorId="0" shapeId="0" xr:uid="{E44C8640-0452-4038-834A-2161441C19BB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H20" authorId="0" shapeId="0" xr:uid="{B7216468-DA23-4C36-AB65-CDE67997F40C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F37" authorId="0" shapeId="0" xr:uid="{59830EA8-4224-45E9-9385-652A87B6D59A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I37" authorId="0" shapeId="0" xr:uid="{2671E222-3845-4594-A394-9D8F68841C46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半田康二</author>
  </authors>
  <commentList>
    <comment ref="E19" authorId="0" shapeId="0" xr:uid="{519F0224-7EC6-40F1-85F7-AA809CD130A6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H19" authorId="0" shapeId="0" xr:uid="{3CE60744-47A6-4C14-B69C-CF852F7CD5AD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E20" authorId="0" shapeId="0" xr:uid="{FE5C631A-DA9A-4AF4-909C-2A3F7F89A22D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H20" authorId="0" shapeId="0" xr:uid="{795E02E0-8BBF-4593-B1DF-DE1013BC61DE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F37" authorId="0" shapeId="0" xr:uid="{D269DE9B-5E55-410D-A511-440CA8FDAE43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  <comment ref="I37" authorId="0" shapeId="0" xr:uid="{2BD24194-043C-483F-8167-210F725D4C15}">
      <text>
        <r>
          <rPr>
            <b/>
            <sz val="9"/>
            <color indexed="81"/>
            <rFont val="MS P ゴシック"/>
            <family val="3"/>
            <charset val="128"/>
          </rPr>
          <t>申告不要を選択</t>
        </r>
      </text>
    </comment>
  </commentList>
</comments>
</file>

<file path=xl/sharedStrings.xml><?xml version="1.0" encoding="utf-8"?>
<sst xmlns="http://schemas.openxmlformats.org/spreadsheetml/2006/main" count="221" uniqueCount="81">
  <si>
    <t>給与収入</t>
    <rPh sb="0" eb="2">
      <t>キュウヨ</t>
    </rPh>
    <rPh sb="2" eb="4">
      <t>シュウニュウ</t>
    </rPh>
    <phoneticPr fontId="1"/>
  </si>
  <si>
    <t>給与所得控除額</t>
    <rPh sb="0" eb="2">
      <t>キュウヨ</t>
    </rPh>
    <rPh sb="2" eb="4">
      <t>ショトク</t>
    </rPh>
    <rPh sb="4" eb="6">
      <t>コウジョ</t>
    </rPh>
    <rPh sb="6" eb="7">
      <t>ガク</t>
    </rPh>
    <phoneticPr fontId="1"/>
  </si>
  <si>
    <t>給与所得金額</t>
    <rPh sb="0" eb="2">
      <t>キュウヨ</t>
    </rPh>
    <rPh sb="2" eb="4">
      <t>ショトク</t>
    </rPh>
    <rPh sb="4" eb="6">
      <t>キンガク</t>
    </rPh>
    <phoneticPr fontId="1"/>
  </si>
  <si>
    <t>配当所得金額</t>
    <rPh sb="0" eb="2">
      <t>ハイトウ</t>
    </rPh>
    <rPh sb="2" eb="4">
      <t>ショトク</t>
    </rPh>
    <rPh sb="4" eb="6">
      <t>キンガク</t>
    </rPh>
    <phoneticPr fontId="1"/>
  </si>
  <si>
    <t>合計所得金額</t>
    <rPh sb="0" eb="2">
      <t>ゴウケイ</t>
    </rPh>
    <rPh sb="2" eb="4">
      <t>ショトク</t>
    </rPh>
    <rPh sb="4" eb="6">
      <t>キンガク</t>
    </rPh>
    <phoneticPr fontId="1"/>
  </si>
  <si>
    <t>課税所得金額</t>
    <rPh sb="0" eb="2">
      <t>カゼイ</t>
    </rPh>
    <rPh sb="2" eb="4">
      <t>ショトク</t>
    </rPh>
    <rPh sb="4" eb="6">
      <t>キンガク</t>
    </rPh>
    <phoneticPr fontId="1"/>
  </si>
  <si>
    <t>復興特別所得税</t>
    <rPh sb="0" eb="2">
      <t>フッコウ</t>
    </rPh>
    <rPh sb="2" eb="4">
      <t>トクベツ</t>
    </rPh>
    <rPh sb="4" eb="7">
      <t>ショトクゼイ</t>
    </rPh>
    <phoneticPr fontId="1"/>
  </si>
  <si>
    <t>所得税</t>
    <rPh sb="0" eb="3">
      <t>ショトクゼイ</t>
    </rPh>
    <phoneticPr fontId="1"/>
  </si>
  <si>
    <t>ふるさと納税-基本控除額</t>
    <rPh sb="4" eb="6">
      <t>ノウゼイ</t>
    </rPh>
    <rPh sb="7" eb="9">
      <t>キホン</t>
    </rPh>
    <rPh sb="9" eb="11">
      <t>コウジョ</t>
    </rPh>
    <rPh sb="11" eb="12">
      <t>ガク</t>
    </rPh>
    <phoneticPr fontId="1"/>
  </si>
  <si>
    <t>ふるさと納税-特例控除額</t>
    <rPh sb="4" eb="6">
      <t>ノウゼイ</t>
    </rPh>
    <rPh sb="7" eb="9">
      <t>トクレイ</t>
    </rPh>
    <rPh sb="9" eb="11">
      <t>コウジョ</t>
    </rPh>
    <rPh sb="11" eb="12">
      <t>ガク</t>
    </rPh>
    <phoneticPr fontId="1"/>
  </si>
  <si>
    <t>-</t>
    <phoneticPr fontId="1"/>
  </si>
  <si>
    <t>ふるさと納税
による寄付金</t>
    <rPh sb="4" eb="6">
      <t>ノウゼイ</t>
    </rPh>
    <rPh sb="10" eb="13">
      <t>キフキン</t>
    </rPh>
    <phoneticPr fontId="1"/>
  </si>
  <si>
    <t>均等割額</t>
    <rPh sb="0" eb="3">
      <t>キントウワリ</t>
    </rPh>
    <rPh sb="3" eb="4">
      <t>ガク</t>
    </rPh>
    <phoneticPr fontId="1"/>
  </si>
  <si>
    <t>合計</t>
    <rPh sb="0" eb="2">
      <t>ゴウケイ</t>
    </rPh>
    <phoneticPr fontId="1"/>
  </si>
  <si>
    <t>調整控除額の控除後
の住民税所得割額</t>
    <rPh sb="0" eb="2">
      <t>チョウセイ</t>
    </rPh>
    <rPh sb="2" eb="4">
      <t>コウジョ</t>
    </rPh>
    <rPh sb="4" eb="5">
      <t>ガク</t>
    </rPh>
    <rPh sb="6" eb="8">
      <t>コウジョ</t>
    </rPh>
    <rPh sb="8" eb="9">
      <t>ゴ</t>
    </rPh>
    <rPh sb="11" eb="14">
      <t>ジュウミンゼイ</t>
    </rPh>
    <rPh sb="14" eb="16">
      <t>ショトク</t>
    </rPh>
    <rPh sb="16" eb="17">
      <t>ワリ</t>
    </rPh>
    <rPh sb="17" eb="18">
      <t>ガク</t>
    </rPh>
    <phoneticPr fontId="1"/>
  </si>
  <si>
    <t>住宅借入金等特別控除額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1">
      <t>ガク</t>
    </rPh>
    <phoneticPr fontId="1"/>
  </si>
  <si>
    <t>令和2年分</t>
    <rPh sb="0" eb="2">
      <t>レイワ</t>
    </rPh>
    <rPh sb="3" eb="5">
      <t>ネンブン</t>
    </rPh>
    <phoneticPr fontId="1"/>
  </si>
  <si>
    <t>所得税額
（住民税所得割額）</t>
    <rPh sb="0" eb="3">
      <t>ショトクゼイ</t>
    </rPh>
    <rPh sb="3" eb="4">
      <t>ガク</t>
    </rPh>
    <rPh sb="6" eb="9">
      <t>ジュウミンゼイ</t>
    </rPh>
    <rPh sb="9" eb="11">
      <t>ショトク</t>
    </rPh>
    <rPh sb="11" eb="12">
      <t>ワリ</t>
    </rPh>
    <rPh sb="12" eb="13">
      <t>ガク</t>
    </rPh>
    <phoneticPr fontId="1"/>
  </si>
  <si>
    <t>所得税額及び復興特別所得税額
（住民税額）</t>
    <rPh sb="0" eb="3">
      <t>ショトクゼイ</t>
    </rPh>
    <rPh sb="3" eb="4">
      <t>ガク</t>
    </rPh>
    <rPh sb="4" eb="5">
      <t>オヨ</t>
    </rPh>
    <rPh sb="6" eb="8">
      <t>フッコウ</t>
    </rPh>
    <rPh sb="8" eb="10">
      <t>トクベツ</t>
    </rPh>
    <rPh sb="10" eb="13">
      <t>ショトクゼイ</t>
    </rPh>
    <rPh sb="13" eb="14">
      <t>ガク</t>
    </rPh>
    <rPh sb="16" eb="19">
      <t>ジュウミンゼイ</t>
    </rPh>
    <rPh sb="19" eb="20">
      <t>ガク</t>
    </rPh>
    <phoneticPr fontId="1"/>
  </si>
  <si>
    <t>差引所得税額（住民税額）</t>
    <rPh sb="0" eb="2">
      <t>サシヒキ</t>
    </rPh>
    <rPh sb="2" eb="5">
      <t>ショトクゼイ</t>
    </rPh>
    <rPh sb="5" eb="6">
      <t>ガク</t>
    </rPh>
    <rPh sb="7" eb="10">
      <t>ジュウミンゼイ</t>
    </rPh>
    <rPh sb="10" eb="11">
      <t>ガク</t>
    </rPh>
    <phoneticPr fontId="1"/>
  </si>
  <si>
    <t>ふるさと納税を
実施しない場合の税額</t>
    <rPh sb="4" eb="6">
      <t>ノウゼイ</t>
    </rPh>
    <rPh sb="8" eb="10">
      <t>ジッシ</t>
    </rPh>
    <rPh sb="13" eb="15">
      <t>バアイ</t>
    </rPh>
    <rPh sb="16" eb="18">
      <t>ゼイガク</t>
    </rPh>
    <phoneticPr fontId="1"/>
  </si>
  <si>
    <t>ふるさと納税を
実施した場合の税額</t>
    <rPh sb="4" eb="6">
      <t>ノウゼイ</t>
    </rPh>
    <rPh sb="8" eb="10">
      <t>ジッシ</t>
    </rPh>
    <rPh sb="12" eb="14">
      <t>バアイ</t>
    </rPh>
    <rPh sb="15" eb="16">
      <t>ゼイ</t>
    </rPh>
    <rPh sb="16" eb="17">
      <t>ガク</t>
    </rPh>
    <phoneticPr fontId="1"/>
  </si>
  <si>
    <t>ふるさと納税の実施効果</t>
    <rPh sb="4" eb="6">
      <t>ノウゼイ</t>
    </rPh>
    <rPh sb="7" eb="9">
      <t>ジッシ</t>
    </rPh>
    <rPh sb="9" eb="11">
      <t>コウカ</t>
    </rPh>
    <phoneticPr fontId="1"/>
  </si>
  <si>
    <t>項目</t>
    <rPh sb="0" eb="2">
      <t>コウモク</t>
    </rPh>
    <phoneticPr fontId="1"/>
  </si>
  <si>
    <t>(単位: 円）</t>
    <rPh sb="1" eb="3">
      <t>タンイ</t>
    </rPh>
    <rPh sb="5" eb="6">
      <t>エン</t>
    </rPh>
    <phoneticPr fontId="1"/>
  </si>
  <si>
    <t>ふるさと納税の寄付額</t>
    <rPh sb="4" eb="6">
      <t>ノウゼイ</t>
    </rPh>
    <rPh sb="7" eb="9">
      <t>キフ</t>
    </rPh>
    <rPh sb="9" eb="10">
      <t>ガク</t>
    </rPh>
    <phoneticPr fontId="1"/>
  </si>
  <si>
    <t>実質負担額</t>
    <rPh sb="0" eb="2">
      <t>ジッシツ</t>
    </rPh>
    <rPh sb="2" eb="4">
      <t>フタン</t>
    </rPh>
    <rPh sb="4" eb="5">
      <t>ガク</t>
    </rPh>
    <phoneticPr fontId="1"/>
  </si>
  <si>
    <t>ふるさと納税の返礼品受取額（寄付額の30％で試算）</t>
    <rPh sb="4" eb="6">
      <t>ノウゼイ</t>
    </rPh>
    <rPh sb="7" eb="9">
      <t>ヘンレイ</t>
    </rPh>
    <rPh sb="9" eb="10">
      <t>ヒン</t>
    </rPh>
    <rPh sb="10" eb="12">
      <t>ウケトリ</t>
    </rPh>
    <rPh sb="12" eb="13">
      <t>ガク</t>
    </rPh>
    <rPh sb="14" eb="16">
      <t>キフ</t>
    </rPh>
    <rPh sb="16" eb="17">
      <t>ガク</t>
    </rPh>
    <rPh sb="22" eb="24">
      <t>シサン</t>
    </rPh>
    <phoneticPr fontId="1"/>
  </si>
  <si>
    <t>ふるさと納税による効果額</t>
    <rPh sb="4" eb="6">
      <t>ノウゼイ</t>
    </rPh>
    <rPh sb="9" eb="11">
      <t>コウカ</t>
    </rPh>
    <rPh sb="11" eb="12">
      <t>ガク</t>
    </rPh>
    <phoneticPr fontId="1"/>
  </si>
  <si>
    <t>配当所得のための利子</t>
    <rPh sb="0" eb="2">
      <t>ハイトウ</t>
    </rPh>
    <rPh sb="2" eb="4">
      <t>ショトク</t>
    </rPh>
    <rPh sb="8" eb="10">
      <t>リシ</t>
    </rPh>
    <phoneticPr fontId="1"/>
  </si>
  <si>
    <t>都民税</t>
    <rPh sb="0" eb="1">
      <t>ト</t>
    </rPh>
    <rPh sb="2" eb="3">
      <t>ゼイ</t>
    </rPh>
    <phoneticPr fontId="1"/>
  </si>
  <si>
    <t>扶養控除</t>
    <rPh sb="0" eb="2">
      <t>フヨウ</t>
    </rPh>
    <rPh sb="2" eb="4">
      <t>コウジョ</t>
    </rPh>
    <phoneticPr fontId="1"/>
  </si>
  <si>
    <t>基礎控除</t>
    <rPh sb="0" eb="2">
      <t>キソ</t>
    </rPh>
    <rPh sb="2" eb="4">
      <t>コウジョ</t>
    </rPh>
    <phoneticPr fontId="1"/>
  </si>
  <si>
    <t>医療費控除</t>
    <rPh sb="0" eb="3">
      <t>イリョウヒ</t>
    </rPh>
    <rPh sb="3" eb="5">
      <t>コウジョ</t>
    </rPh>
    <phoneticPr fontId="1"/>
  </si>
  <si>
    <t>寄付金控除</t>
    <rPh sb="0" eb="3">
      <t>キフキン</t>
    </rPh>
    <rPh sb="3" eb="5">
      <t>コウジョ</t>
    </rPh>
    <phoneticPr fontId="1"/>
  </si>
  <si>
    <t>所得控除合計</t>
    <rPh sb="0" eb="2">
      <t>ショトク</t>
    </rPh>
    <rPh sb="2" eb="4">
      <t>コウジョ</t>
    </rPh>
    <rPh sb="4" eb="6">
      <t>ゴウケイ</t>
    </rPh>
    <phoneticPr fontId="1"/>
  </si>
  <si>
    <t>課税所得</t>
    <rPh sb="0" eb="2">
      <t>カゼイ</t>
    </rPh>
    <rPh sb="2" eb="4">
      <t>ショトク</t>
    </rPh>
    <phoneticPr fontId="1"/>
  </si>
  <si>
    <t>円超</t>
    <rPh sb="0" eb="2">
      <t>エンチョウ</t>
    </rPh>
    <phoneticPr fontId="1"/>
  </si>
  <si>
    <t>円以下</t>
    <rPh sb="0" eb="3">
      <t>エンイカ</t>
    </rPh>
    <phoneticPr fontId="1"/>
  </si>
  <si>
    <t>円</t>
  </si>
  <si>
    <t>円</t>
    <rPh sb="0" eb="1">
      <t>エン</t>
    </rPh>
    <phoneticPr fontId="1"/>
  </si>
  <si>
    <t>所得税率表</t>
    <rPh sb="0" eb="2">
      <t>ショトク</t>
    </rPh>
    <rPh sb="2" eb="4">
      <t>ゼイリツ</t>
    </rPh>
    <rPh sb="4" eb="5">
      <t>ヒョウ</t>
    </rPh>
    <phoneticPr fontId="1"/>
  </si>
  <si>
    <t>税率</t>
    <rPh sb="0" eb="2">
      <t>ゼイリツ</t>
    </rPh>
    <phoneticPr fontId="1"/>
  </si>
  <si>
    <t>速算控除額</t>
    <rPh sb="0" eb="2">
      <t>ソクサン</t>
    </rPh>
    <rPh sb="2" eb="4">
      <t>コウジョ</t>
    </rPh>
    <rPh sb="4" eb="5">
      <t>ガク</t>
    </rPh>
    <phoneticPr fontId="1"/>
  </si>
  <si>
    <t>割合</t>
    <rPh sb="0" eb="2">
      <t>ワリアイ</t>
    </rPh>
    <phoneticPr fontId="1"/>
  </si>
  <si>
    <t>円以上</t>
    <rPh sb="0" eb="3">
      <t>エンイジョウ</t>
    </rPh>
    <phoneticPr fontId="1"/>
  </si>
  <si>
    <t>円以上</t>
    <rPh sb="0" eb="1">
      <t>エン</t>
    </rPh>
    <rPh sb="1" eb="3">
      <t>イジョウ</t>
    </rPh>
    <phoneticPr fontId="1"/>
  </si>
  <si>
    <t>年調給与額</t>
    <rPh sb="0" eb="2">
      <t>ネンチョウ</t>
    </rPh>
    <rPh sb="2" eb="5">
      <t>キュウヨガク</t>
    </rPh>
    <phoneticPr fontId="1"/>
  </si>
  <si>
    <t>階差</t>
    <rPh sb="0" eb="2">
      <t>カイサ</t>
    </rPh>
    <phoneticPr fontId="1"/>
  </si>
  <si>
    <t>同一階差
の最小値</t>
    <rPh sb="0" eb="2">
      <t>ドウイツ</t>
    </rPh>
    <rPh sb="2" eb="4">
      <t>カイサ</t>
    </rPh>
    <rPh sb="6" eb="9">
      <t>サイショウチ</t>
    </rPh>
    <phoneticPr fontId="1"/>
  </si>
  <si>
    <t>配偶者控除</t>
    <rPh sb="0" eb="3">
      <t>ハイグウシャ</t>
    </rPh>
    <rPh sb="3" eb="5">
      <t>コウジョ</t>
    </rPh>
    <phoneticPr fontId="1"/>
  </si>
  <si>
    <t>不動産収入</t>
    <rPh sb="0" eb="3">
      <t>フドウサン</t>
    </rPh>
    <rPh sb="3" eb="5">
      <t>シュウニュウ</t>
    </rPh>
    <phoneticPr fontId="1"/>
  </si>
  <si>
    <t>不動産に係る必要経費</t>
    <rPh sb="0" eb="3">
      <t>フドウサン</t>
    </rPh>
    <rPh sb="4" eb="5">
      <t>カカ</t>
    </rPh>
    <rPh sb="6" eb="8">
      <t>ヒツヨウ</t>
    </rPh>
    <rPh sb="8" eb="10">
      <t>ケイヒ</t>
    </rPh>
    <phoneticPr fontId="1"/>
  </si>
  <si>
    <t>土地等の負債利子</t>
    <rPh sb="0" eb="2">
      <t>トチ</t>
    </rPh>
    <rPh sb="2" eb="3">
      <t>トウ</t>
    </rPh>
    <rPh sb="4" eb="6">
      <t>フサイ</t>
    </rPh>
    <rPh sb="6" eb="8">
      <t>リシ</t>
    </rPh>
    <phoneticPr fontId="1"/>
  </si>
  <si>
    <t>給与収入（※1）</t>
    <rPh sb="0" eb="2">
      <t>キュウヨ</t>
    </rPh>
    <rPh sb="2" eb="4">
      <t>シュウニュウ</t>
    </rPh>
    <phoneticPr fontId="1"/>
  </si>
  <si>
    <t>配当所得金額（※2）</t>
    <rPh sb="0" eb="2">
      <t>ハイトウ</t>
    </rPh>
    <rPh sb="2" eb="4">
      <t>ショトク</t>
    </rPh>
    <rPh sb="4" eb="6">
      <t>キンガク</t>
    </rPh>
    <phoneticPr fontId="1"/>
  </si>
  <si>
    <t>配当収入（※3）</t>
    <rPh sb="0" eb="2">
      <t>ハイトウ</t>
    </rPh>
    <rPh sb="2" eb="4">
      <t>シュウニュウ</t>
    </rPh>
    <phoneticPr fontId="1"/>
  </si>
  <si>
    <t>社会保険料控除（※4）</t>
    <rPh sb="0" eb="2">
      <t>シャカイ</t>
    </rPh>
    <rPh sb="2" eb="5">
      <t>ホケンリョウ</t>
    </rPh>
    <rPh sb="5" eb="7">
      <t>コウジョ</t>
    </rPh>
    <phoneticPr fontId="1"/>
  </si>
  <si>
    <t>生命保険料控除（※4）</t>
  </si>
  <si>
    <t>地震保険料控除（※4）</t>
    <rPh sb="0" eb="2">
      <t>ジシン</t>
    </rPh>
    <rPh sb="2" eb="5">
      <t>ホケンリョウ</t>
    </rPh>
    <rPh sb="5" eb="7">
      <t>コウジョ</t>
    </rPh>
    <phoneticPr fontId="1"/>
  </si>
  <si>
    <t>配当控除（※3）</t>
    <rPh sb="0" eb="2">
      <t>ハイトウ</t>
    </rPh>
    <rPh sb="2" eb="4">
      <t>コウジョ</t>
    </rPh>
    <phoneticPr fontId="1"/>
  </si>
  <si>
    <t>現況の所得税及び住民税</t>
    <rPh sb="0" eb="2">
      <t>ゲンキョウ</t>
    </rPh>
    <rPh sb="3" eb="6">
      <t>ショトクゼイ</t>
    </rPh>
    <rPh sb="6" eb="7">
      <t>オヨ</t>
    </rPh>
    <rPh sb="8" eb="11">
      <t>ジュウミンゼイ</t>
    </rPh>
    <phoneticPr fontId="1"/>
  </si>
  <si>
    <t>ふるさと納税実施後の所得税及び住民税</t>
    <rPh sb="4" eb="6">
      <t>ノウゼイ</t>
    </rPh>
    <rPh sb="6" eb="8">
      <t>ジッシ</t>
    </rPh>
    <rPh sb="8" eb="9">
      <t>ゴ</t>
    </rPh>
    <rPh sb="10" eb="13">
      <t>ショトクゼイ</t>
    </rPh>
    <rPh sb="13" eb="14">
      <t>オヨ</t>
    </rPh>
    <rPh sb="15" eb="18">
      <t>ジュウミンゼイ</t>
    </rPh>
    <phoneticPr fontId="1"/>
  </si>
  <si>
    <t>ふるさと納税上限算式</t>
    <rPh sb="4" eb="6">
      <t>ノウゼイ</t>
    </rPh>
    <rPh sb="6" eb="8">
      <t>ジョウゲン</t>
    </rPh>
    <rPh sb="8" eb="10">
      <t>サンシキ</t>
    </rPh>
    <phoneticPr fontId="1"/>
  </si>
  <si>
    <t>加算額</t>
    <rPh sb="0" eb="3">
      <t>カサンガク</t>
    </rPh>
    <phoneticPr fontId="1"/>
  </si>
  <si>
    <t>ふるさと納税-特例控除額-上限</t>
    <rPh sb="4" eb="6">
      <t>ノウゼイ</t>
    </rPh>
    <rPh sb="7" eb="9">
      <t>トクレイ</t>
    </rPh>
    <rPh sb="9" eb="11">
      <t>コウジョ</t>
    </rPh>
    <rPh sb="11" eb="12">
      <t>ガク</t>
    </rPh>
    <rPh sb="13" eb="15">
      <t>ジョウゲン</t>
    </rPh>
    <phoneticPr fontId="1"/>
  </si>
  <si>
    <t>調整控除（※5）</t>
    <rPh sb="0" eb="2">
      <t>チョウセイ</t>
    </rPh>
    <rPh sb="2" eb="4">
      <t>コウジョ</t>
    </rPh>
    <phoneticPr fontId="1"/>
  </si>
  <si>
    <t>区民税</t>
    <rPh sb="0" eb="1">
      <t>ク</t>
    </rPh>
    <rPh sb="2" eb="3">
      <t>ゼイ</t>
    </rPh>
    <phoneticPr fontId="1"/>
  </si>
  <si>
    <t>所得金額調整金額</t>
    <rPh sb="0" eb="2">
      <t>ショトク</t>
    </rPh>
    <rPh sb="2" eb="4">
      <t>キンガク</t>
    </rPh>
    <rPh sb="4" eb="6">
      <t>チョウセイ</t>
    </rPh>
    <rPh sb="6" eb="8">
      <t>キンガク</t>
    </rPh>
    <phoneticPr fontId="1"/>
  </si>
  <si>
    <t>菅　義偉　様</t>
    <rPh sb="0" eb="1">
      <t>スガ</t>
    </rPh>
    <rPh sb="2" eb="4">
      <t>ヨシヒデ</t>
    </rPh>
    <rPh sb="5" eb="6">
      <t>サマ</t>
    </rPh>
    <phoneticPr fontId="1"/>
  </si>
  <si>
    <t>令和3年分</t>
    <rPh sb="0" eb="2">
      <t>レイワ</t>
    </rPh>
    <rPh sb="3" eb="5">
      <t>ネンブン</t>
    </rPh>
    <phoneticPr fontId="1"/>
  </si>
  <si>
    <t>※1 黄色の部分を入力すると、令和3年分の所得税及び令和4年度の住民税が計算されます。</t>
    <rPh sb="3" eb="5">
      <t>キイロ</t>
    </rPh>
    <rPh sb="6" eb="8">
      <t>ブブン</t>
    </rPh>
    <rPh sb="9" eb="11">
      <t>ニュウリョク</t>
    </rPh>
    <rPh sb="15" eb="17">
      <t>レイワ</t>
    </rPh>
    <rPh sb="18" eb="20">
      <t>ネンブン</t>
    </rPh>
    <rPh sb="21" eb="24">
      <t>ショトクゼイ</t>
    </rPh>
    <rPh sb="24" eb="25">
      <t>オヨ</t>
    </rPh>
    <rPh sb="26" eb="28">
      <t>レイワ</t>
    </rPh>
    <rPh sb="29" eb="31">
      <t>ネンド</t>
    </rPh>
    <rPh sb="32" eb="35">
      <t>ジュウミンゼイ</t>
    </rPh>
    <rPh sb="36" eb="38">
      <t>ケイサン</t>
    </rPh>
    <phoneticPr fontId="1"/>
  </si>
  <si>
    <t>配当収入</t>
    <rPh sb="0" eb="2">
      <t>ハイトウ</t>
    </rPh>
    <rPh sb="2" eb="4">
      <t>シュウニュウ</t>
    </rPh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</si>
  <si>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</si>
  <si>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生命保険料控除</t>
    <phoneticPr fontId="1"/>
  </si>
  <si>
    <t>地震保険料控除</t>
    <rPh sb="0" eb="2">
      <t>ジシン</t>
    </rPh>
    <rPh sb="2" eb="5">
      <t>ホケンリョウ</t>
    </rPh>
    <rPh sb="5" eb="7">
      <t>コウジョ</t>
    </rPh>
    <phoneticPr fontId="1"/>
  </si>
  <si>
    <t>調整控除</t>
    <rPh sb="0" eb="2">
      <t>チョウセイ</t>
    </rPh>
    <rPh sb="2" eb="4">
      <t>コウジョ</t>
    </rPh>
    <phoneticPr fontId="1"/>
  </si>
  <si>
    <t>配当控除</t>
    <rPh sb="0" eb="2">
      <t>ハイトウ</t>
    </rPh>
    <rPh sb="2" eb="4">
      <t>コウジョ</t>
    </rPh>
    <phoneticPr fontId="1"/>
  </si>
  <si>
    <t>※2 調整控除は、簡便的に、区民税1,500円及び都民税1,000円により計算しています。</t>
    <rPh sb="3" eb="5">
      <t>チョウセイ</t>
    </rPh>
    <rPh sb="5" eb="7">
      <t>コウジョ</t>
    </rPh>
    <rPh sb="9" eb="12">
      <t>カンベンテキ</t>
    </rPh>
    <rPh sb="14" eb="16">
      <t>クミン</t>
    </rPh>
    <rPh sb="16" eb="17">
      <t>ゼイ</t>
    </rPh>
    <rPh sb="22" eb="23">
      <t>エン</t>
    </rPh>
    <rPh sb="23" eb="24">
      <t>オヨ</t>
    </rPh>
    <rPh sb="25" eb="27">
      <t>トミン</t>
    </rPh>
    <rPh sb="27" eb="28">
      <t>ゼイ</t>
    </rPh>
    <rPh sb="33" eb="34">
      <t>エン</t>
    </rPh>
    <rPh sb="37" eb="39">
      <t>ケイサン</t>
    </rPh>
    <phoneticPr fontId="1"/>
  </si>
  <si>
    <t>※3 ふるさと納税額の上限が、「ふるさと納税実施」シートの「ふるさと納税-特例控除額-上限（セルF56）」に計算されます。</t>
    <rPh sb="7" eb="9">
      <t>ノウゼイ</t>
    </rPh>
    <rPh sb="9" eb="10">
      <t>ガク</t>
    </rPh>
    <rPh sb="11" eb="13">
      <t>ジョウゲン</t>
    </rPh>
    <rPh sb="20" eb="22">
      <t>ノウゼイ</t>
    </rPh>
    <rPh sb="22" eb="24">
      <t>ジッシ</t>
    </rPh>
    <rPh sb="54" eb="56">
      <t>ケイサン</t>
    </rPh>
    <phoneticPr fontId="1"/>
  </si>
  <si>
    <t>※4 ふるさと納税額の上限額は、簡便的に算出していますので、実際に実施するふるさと納税額は、専門家とご相談下さい。</t>
    <rPh sb="7" eb="9">
      <t>ノウゼイ</t>
    </rPh>
    <rPh sb="9" eb="10">
      <t>ガク</t>
    </rPh>
    <rPh sb="11" eb="13">
      <t>ジョウゲン</t>
    </rPh>
    <rPh sb="13" eb="14">
      <t>ガク</t>
    </rPh>
    <rPh sb="16" eb="19">
      <t>カンベンテキ</t>
    </rPh>
    <rPh sb="20" eb="22">
      <t>サンシュツ</t>
    </rPh>
    <rPh sb="30" eb="32">
      <t>ジッサイ</t>
    </rPh>
    <rPh sb="33" eb="35">
      <t>ジッシ</t>
    </rPh>
    <rPh sb="41" eb="43">
      <t>ノウゼイ</t>
    </rPh>
    <rPh sb="43" eb="44">
      <t>ガク</t>
    </rPh>
    <rPh sb="46" eb="49">
      <t>センモンカ</t>
    </rPh>
    <rPh sb="51" eb="54">
      <t>ソウダンクダ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</si>
</sst>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00%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 diagonalUp="1">
      <left style="hair">
        <color auto="1"/>
      </left>
      <right/>
      <top style="hair">
        <color auto="1"/>
      </top>
      <bottom style="medium">
        <color auto="1"/>
      </bottom>
      <diagonal style="hair">
        <color auto="1"/>
      </diagonal>
    </border>
    <border diagonalUp="1">
      <left/>
      <right style="medium">
        <color auto="1"/>
      </right>
      <top style="hair">
        <color auto="1"/>
      </top>
      <bottom style="medium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medium">
        <color auto="1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2" borderId="4" xfId="0" applyNumberFormat="1" applyFill="1" applyBorder="1" applyAlignment="1">
      <alignment vertical="center" wrapText="1"/>
    </xf>
    <xf numFmtId="176" fontId="0" fillId="2" borderId="5" xfId="0" applyNumberFormat="1" applyFill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4" xfId="0" applyNumberFormat="1" applyBorder="1" applyAlignment="1">
      <alignment vertical="center" wrapText="1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 applyAlignment="1">
      <alignment horizontal="centerContinuous" vertical="center"/>
    </xf>
    <xf numFmtId="176" fontId="0" fillId="0" borderId="7" xfId="0" applyNumberFormat="1" applyBorder="1" applyAlignment="1">
      <alignment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9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9" fontId="0" fillId="0" borderId="21" xfId="0" applyNumberFormat="1" applyBorder="1">
      <alignment vertical="center"/>
    </xf>
    <xf numFmtId="9" fontId="0" fillId="0" borderId="22" xfId="0" applyNumberFormat="1" applyBorder="1">
      <alignment vertical="center"/>
    </xf>
    <xf numFmtId="9" fontId="0" fillId="0" borderId="0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0" fillId="0" borderId="32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176" fontId="0" fillId="0" borderId="32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176" fontId="0" fillId="0" borderId="17" xfId="0" applyNumberFormat="1" applyBorder="1" applyAlignment="1">
      <alignment horizontal="center" vertical="center" wrapText="1"/>
    </xf>
    <xf numFmtId="176" fontId="0" fillId="0" borderId="29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176" fontId="0" fillId="3" borderId="5" xfId="0" applyNumberFormat="1" applyFill="1" applyBorder="1">
      <alignment vertical="center"/>
    </xf>
    <xf numFmtId="176" fontId="0" fillId="0" borderId="4" xfId="0" applyNumberFormat="1" applyFill="1" applyBorder="1" applyAlignment="1">
      <alignment vertical="center" wrapText="1"/>
    </xf>
    <xf numFmtId="176" fontId="0" fillId="5" borderId="7" xfId="0" applyNumberFormat="1" applyFill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4" borderId="7" xfId="0" applyNumberFormat="1" applyFill="1" applyBorder="1" applyAlignment="1">
      <alignment vertical="center" wrapText="1"/>
    </xf>
    <xf numFmtId="176" fontId="0" fillId="4" borderId="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16A3-E1CD-436A-8944-2EBA5536EB68}">
  <sheetPr>
    <pageSetUpPr fitToPage="1"/>
  </sheetPr>
  <dimension ref="A1:K51"/>
  <sheetViews>
    <sheetView topLeftCell="A28" zoomScaleNormal="100" workbookViewId="0">
      <selection activeCell="A49" sqref="A49"/>
    </sheetView>
  </sheetViews>
  <sheetFormatPr defaultRowHeight="18.75"/>
  <cols>
    <col min="1" max="1" width="33.25" style="1" customWidth="1"/>
    <col min="2" max="3" width="11.625" style="1" customWidth="1"/>
    <col min="4" max="4" width="2.625" style="1" customWidth="1"/>
    <col min="5" max="6" width="11.625" style="1" customWidth="1"/>
    <col min="7" max="7" width="2.625" style="1" customWidth="1"/>
    <col min="8" max="9" width="11.625" style="1" customWidth="1"/>
    <col min="10" max="10" width="2.625" style="1" customWidth="1"/>
    <col min="11" max="11" width="11.625" style="1" customWidth="1"/>
    <col min="12" max="12" width="9" style="1"/>
    <col min="13" max="13" width="10" style="1" bestFit="1" customWidth="1"/>
    <col min="14" max="16384" width="9" style="1"/>
  </cols>
  <sheetData>
    <row r="1" spans="1:11">
      <c r="A1" s="1" t="s">
        <v>61</v>
      </c>
    </row>
    <row r="2" spans="1:11">
      <c r="A2" s="1" t="s">
        <v>70</v>
      </c>
    </row>
    <row r="3" spans="1:11">
      <c r="A3" s="1" t="s">
        <v>69</v>
      </c>
    </row>
    <row r="4" spans="1:11">
      <c r="A4" s="24">
        <f ca="1">TODAY()</f>
        <v>44203</v>
      </c>
    </row>
    <row r="5" spans="1:11" ht="19.5" thickBot="1">
      <c r="K5" s="1" t="s">
        <v>24</v>
      </c>
    </row>
    <row r="6" spans="1:11">
      <c r="A6" s="2"/>
      <c r="B6" s="13" t="s">
        <v>7</v>
      </c>
      <c r="C6" s="13"/>
      <c r="D6" s="3"/>
      <c r="E6" s="13" t="s">
        <v>67</v>
      </c>
      <c r="F6" s="13"/>
      <c r="G6" s="3"/>
      <c r="H6" s="13" t="s">
        <v>30</v>
      </c>
      <c r="I6" s="13"/>
      <c r="J6" s="3"/>
      <c r="K6" s="15" t="s">
        <v>13</v>
      </c>
    </row>
    <row r="7" spans="1:11" ht="37.5">
      <c r="A7" s="59" t="s">
        <v>11</v>
      </c>
      <c r="B7" s="58">
        <v>0</v>
      </c>
      <c r="C7" s="6"/>
      <c r="D7" s="6"/>
      <c r="E7" s="6">
        <f>+B7</f>
        <v>0</v>
      </c>
      <c r="F7" s="6"/>
      <c r="G7" s="6"/>
      <c r="H7" s="6">
        <f>+B7</f>
        <v>0</v>
      </c>
      <c r="I7" s="6"/>
      <c r="J7" s="6"/>
      <c r="K7" s="7"/>
    </row>
    <row r="8" spans="1:11">
      <c r="A8" s="8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>
      <c r="A9" s="8" t="s">
        <v>0</v>
      </c>
      <c r="B9" s="58">
        <v>9894327</v>
      </c>
      <c r="C9" s="6"/>
      <c r="D9" s="6"/>
      <c r="E9" s="6">
        <f>+B9</f>
        <v>9894327</v>
      </c>
      <c r="F9" s="6"/>
      <c r="G9" s="6"/>
      <c r="H9" s="6">
        <f>+E9</f>
        <v>9894327</v>
      </c>
      <c r="I9" s="6"/>
      <c r="J9" s="6"/>
      <c r="K9" s="7"/>
    </row>
    <row r="10" spans="1:11">
      <c r="A10" s="8" t="s">
        <v>1</v>
      </c>
      <c r="B10" s="21">
        <f>+B9-C12-B11</f>
        <v>1950000</v>
      </c>
      <c r="C10" s="6"/>
      <c r="D10" s="6"/>
      <c r="E10" s="6">
        <f>+B10</f>
        <v>1950000</v>
      </c>
      <c r="F10" s="6"/>
      <c r="G10" s="6"/>
      <c r="H10" s="6">
        <f>+E10</f>
        <v>1950000</v>
      </c>
      <c r="I10" s="6"/>
      <c r="J10" s="6"/>
      <c r="K10" s="7"/>
    </row>
    <row r="11" spans="1:11">
      <c r="A11" s="8" t="s">
        <v>68</v>
      </c>
      <c r="B11" s="21">
        <f>+IF(B9&gt;10000000,1500000*0.1,IF(B9&lt;8500000,0,ROUNDUP((B9-8500000)*0.1,0)))</f>
        <v>139433</v>
      </c>
      <c r="C11" s="6"/>
      <c r="D11" s="6"/>
      <c r="E11" s="6">
        <f>+B11</f>
        <v>139433</v>
      </c>
      <c r="F11" s="6"/>
      <c r="G11" s="6"/>
      <c r="H11" s="6">
        <f>+E11</f>
        <v>139433</v>
      </c>
      <c r="I11" s="6"/>
      <c r="J11" s="6"/>
      <c r="K11" s="7"/>
    </row>
    <row r="12" spans="1:11">
      <c r="A12" s="8" t="s">
        <v>2</v>
      </c>
      <c r="B12" s="6"/>
      <c r="C12" s="6">
        <f>+ROUNDDOWN(B46*VLOOKUP(B46,税率表等!A16:G26,5,TRUE)+VLOOKUP(B46,税率表等!A16:G26,7,TRUE),0)-B11</f>
        <v>7804894</v>
      </c>
      <c r="D12" s="6"/>
      <c r="E12" s="6"/>
      <c r="F12" s="6">
        <f>+C12</f>
        <v>7804894</v>
      </c>
      <c r="G12" s="6"/>
      <c r="H12" s="6"/>
      <c r="I12" s="6">
        <f>+F12</f>
        <v>7804894</v>
      </c>
      <c r="J12" s="6"/>
      <c r="K12" s="7"/>
    </row>
    <row r="13" spans="1:11">
      <c r="A13" s="8"/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>
      <c r="A14" s="8" t="s">
        <v>51</v>
      </c>
      <c r="B14" s="58">
        <v>300000</v>
      </c>
      <c r="C14" s="6"/>
      <c r="D14" s="6"/>
      <c r="E14" s="6">
        <v>0</v>
      </c>
      <c r="F14" s="6"/>
      <c r="G14" s="6"/>
      <c r="H14" s="6">
        <f>+E14</f>
        <v>0</v>
      </c>
      <c r="I14" s="6"/>
      <c r="J14" s="6"/>
      <c r="K14" s="7"/>
    </row>
    <row r="15" spans="1:11">
      <c r="A15" s="8" t="s">
        <v>52</v>
      </c>
      <c r="B15" s="58">
        <v>0</v>
      </c>
      <c r="C15" s="6"/>
      <c r="D15" s="6"/>
      <c r="E15" s="6">
        <f>+B15</f>
        <v>0</v>
      </c>
      <c r="F15" s="6"/>
      <c r="G15" s="6"/>
      <c r="H15" s="6">
        <f>+E15</f>
        <v>0</v>
      </c>
      <c r="I15" s="6"/>
      <c r="J15" s="6"/>
      <c r="K15" s="7"/>
    </row>
    <row r="16" spans="1:11">
      <c r="A16" s="8" t="s">
        <v>53</v>
      </c>
      <c r="B16" s="58">
        <v>0</v>
      </c>
      <c r="C16" s="6"/>
      <c r="D16" s="6"/>
      <c r="E16" s="6">
        <f>+B16</f>
        <v>0</v>
      </c>
      <c r="F16" s="6"/>
      <c r="G16" s="6"/>
      <c r="H16" s="6">
        <f>+E16</f>
        <v>0</v>
      </c>
      <c r="I16" s="6"/>
      <c r="J16" s="6"/>
      <c r="K16" s="7"/>
    </row>
    <row r="17" spans="1:11">
      <c r="A17" s="8" t="s">
        <v>3</v>
      </c>
      <c r="B17" s="6"/>
      <c r="C17" s="6">
        <f>+B14-B15+B16</f>
        <v>300000</v>
      </c>
      <c r="D17" s="6"/>
      <c r="E17" s="6"/>
      <c r="F17" s="6">
        <f>+C17</f>
        <v>300000</v>
      </c>
      <c r="G17" s="6"/>
      <c r="H17" s="6"/>
      <c r="I17" s="6">
        <f>+F17</f>
        <v>300000</v>
      </c>
      <c r="J17" s="6"/>
      <c r="K17" s="7"/>
    </row>
    <row r="18" spans="1:11">
      <c r="A18" s="8"/>
      <c r="B18" s="6"/>
      <c r="C18" s="6"/>
      <c r="D18" s="6"/>
      <c r="E18" s="6"/>
      <c r="F18" s="6"/>
      <c r="G18" s="6"/>
      <c r="H18" s="6"/>
      <c r="I18" s="6"/>
      <c r="J18" s="6"/>
      <c r="K18" s="7"/>
    </row>
    <row r="19" spans="1:11">
      <c r="A19" s="8" t="s">
        <v>72</v>
      </c>
      <c r="B19" s="58">
        <v>0</v>
      </c>
      <c r="C19" s="6"/>
      <c r="D19" s="6"/>
      <c r="E19" s="6">
        <v>0</v>
      </c>
      <c r="F19" s="6"/>
      <c r="G19" s="6"/>
      <c r="H19" s="6">
        <f>+E19</f>
        <v>0</v>
      </c>
      <c r="I19" s="6"/>
      <c r="J19" s="6"/>
      <c r="K19" s="7"/>
    </row>
    <row r="20" spans="1:11">
      <c r="A20" s="8" t="s">
        <v>29</v>
      </c>
      <c r="B20" s="58">
        <v>0</v>
      </c>
      <c r="C20" s="6"/>
      <c r="D20" s="6"/>
      <c r="E20" s="6">
        <v>0</v>
      </c>
      <c r="F20" s="6"/>
      <c r="G20" s="6"/>
      <c r="H20" s="6">
        <f>+E20</f>
        <v>0</v>
      </c>
      <c r="I20" s="6"/>
      <c r="J20" s="6"/>
      <c r="K20" s="7"/>
    </row>
    <row r="21" spans="1:11">
      <c r="A21" s="8" t="s">
        <v>3</v>
      </c>
      <c r="B21" s="6"/>
      <c r="C21" s="6">
        <f>+B19-B20</f>
        <v>0</v>
      </c>
      <c r="D21" s="6"/>
      <c r="E21" s="6"/>
      <c r="F21" s="6">
        <f>+E19-E20</f>
        <v>0</v>
      </c>
      <c r="G21" s="6"/>
      <c r="H21" s="6"/>
      <c r="I21" s="6">
        <f>+H19-H20</f>
        <v>0</v>
      </c>
      <c r="J21" s="6"/>
      <c r="K21" s="7"/>
    </row>
    <row r="22" spans="1:11">
      <c r="A22" s="8"/>
      <c r="B22" s="6"/>
      <c r="C22" s="6"/>
      <c r="D22" s="6"/>
      <c r="E22" s="6"/>
      <c r="F22" s="6"/>
      <c r="G22" s="6"/>
      <c r="H22" s="6"/>
      <c r="I22" s="6"/>
      <c r="J22" s="6"/>
      <c r="K22" s="7"/>
    </row>
    <row r="23" spans="1:11">
      <c r="A23" s="8" t="s">
        <v>4</v>
      </c>
      <c r="B23" s="6"/>
      <c r="C23" s="6">
        <f>SUM(C12:C22)</f>
        <v>8104894</v>
      </c>
      <c r="D23" s="6"/>
      <c r="E23" s="6"/>
      <c r="F23" s="6">
        <f>+C23</f>
        <v>8104894</v>
      </c>
      <c r="G23" s="6"/>
      <c r="H23" s="6"/>
      <c r="I23" s="6">
        <f>+F23</f>
        <v>8104894</v>
      </c>
      <c r="J23" s="6"/>
      <c r="K23" s="7"/>
    </row>
    <row r="24" spans="1:11">
      <c r="A24" s="8"/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>
      <c r="A25" s="8" t="s">
        <v>73</v>
      </c>
      <c r="B25" s="58">
        <v>1376027</v>
      </c>
      <c r="C25" s="6"/>
      <c r="D25" s="6"/>
      <c r="E25" s="6">
        <f>+B25</f>
        <v>1376027</v>
      </c>
      <c r="F25" s="6"/>
      <c r="G25" s="6"/>
      <c r="H25" s="6">
        <f>+E25</f>
        <v>1376027</v>
      </c>
      <c r="I25" s="6"/>
      <c r="J25" s="6"/>
      <c r="K25" s="7"/>
    </row>
    <row r="26" spans="1:11">
      <c r="A26" s="8" t="s">
        <v>74</v>
      </c>
      <c r="B26" s="58">
        <v>50000</v>
      </c>
      <c r="C26" s="6"/>
      <c r="D26" s="6"/>
      <c r="E26" s="6">
        <v>35000</v>
      </c>
      <c r="F26" s="6"/>
      <c r="G26" s="6"/>
      <c r="H26" s="6">
        <v>35000</v>
      </c>
      <c r="I26" s="6"/>
      <c r="J26" s="6"/>
      <c r="K26" s="7"/>
    </row>
    <row r="27" spans="1:11">
      <c r="A27" s="8" t="s">
        <v>75</v>
      </c>
      <c r="B27" s="58">
        <v>24167</v>
      </c>
      <c r="C27" s="6"/>
      <c r="D27" s="6"/>
      <c r="E27" s="6">
        <f>+B27*0.5</f>
        <v>12083.5</v>
      </c>
      <c r="F27" s="6"/>
      <c r="G27" s="6"/>
      <c r="H27" s="6">
        <f t="shared" ref="H27" si="0">+E27</f>
        <v>12083.5</v>
      </c>
      <c r="I27" s="6"/>
      <c r="J27" s="6"/>
      <c r="K27" s="7"/>
    </row>
    <row r="28" spans="1:11">
      <c r="A28" s="8" t="s">
        <v>50</v>
      </c>
      <c r="B28" s="58">
        <v>380000</v>
      </c>
      <c r="C28" s="6"/>
      <c r="D28" s="6"/>
      <c r="E28" s="6">
        <v>330000</v>
      </c>
      <c r="F28" s="6"/>
      <c r="G28" s="6"/>
      <c r="H28" s="6">
        <f>+E28</f>
        <v>330000</v>
      </c>
      <c r="I28" s="6"/>
      <c r="J28" s="6"/>
      <c r="K28" s="7"/>
    </row>
    <row r="29" spans="1:11">
      <c r="A29" s="8" t="s">
        <v>32</v>
      </c>
      <c r="B29" s="6">
        <v>480000</v>
      </c>
      <c r="C29" s="6"/>
      <c r="D29" s="6"/>
      <c r="E29" s="6">
        <v>430000</v>
      </c>
      <c r="F29" s="6"/>
      <c r="G29" s="6"/>
      <c r="H29" s="6">
        <f>+E29</f>
        <v>430000</v>
      </c>
      <c r="I29" s="6"/>
      <c r="J29" s="6"/>
      <c r="K29" s="7"/>
    </row>
    <row r="30" spans="1:11">
      <c r="A30" s="8" t="s">
        <v>33</v>
      </c>
      <c r="B30" s="58">
        <v>0</v>
      </c>
      <c r="C30" s="6"/>
      <c r="D30" s="6"/>
      <c r="E30" s="6">
        <f>+B30</f>
        <v>0</v>
      </c>
      <c r="F30" s="6"/>
      <c r="G30" s="6"/>
      <c r="H30" s="6">
        <f>+E30</f>
        <v>0</v>
      </c>
      <c r="I30" s="6"/>
      <c r="J30" s="6"/>
      <c r="K30" s="7"/>
    </row>
    <row r="31" spans="1:11">
      <c r="A31" s="8" t="s">
        <v>34</v>
      </c>
      <c r="B31" s="58">
        <f>+IF(IF(B7-2000&gt;ROUNDDOWN(C23*0.4,0),ROUNDDOWN(C23*0.4,0),B7-2000)&gt;0,IF(B7-2000&gt;ROUNDDOWN(C23*0.4,0),ROUNDDOWN(C23*0.4,0),B7-2000),0)</f>
        <v>0</v>
      </c>
      <c r="C31" s="6"/>
      <c r="D31" s="6"/>
      <c r="E31" s="9" t="s">
        <v>10</v>
      </c>
      <c r="F31" s="6"/>
      <c r="G31" s="6"/>
      <c r="H31" s="9" t="s">
        <v>10</v>
      </c>
      <c r="I31" s="6"/>
      <c r="J31" s="6"/>
      <c r="K31" s="7"/>
    </row>
    <row r="32" spans="1:11">
      <c r="A32" s="8" t="s">
        <v>35</v>
      </c>
      <c r="B32" s="6"/>
      <c r="C32" s="6">
        <f>SUM(B25:B31)</f>
        <v>2310194</v>
      </c>
      <c r="D32" s="6"/>
      <c r="E32" s="6"/>
      <c r="F32" s="6">
        <f>SUM(E25:E31)</f>
        <v>2183110.5</v>
      </c>
      <c r="G32" s="6"/>
      <c r="H32" s="6"/>
      <c r="I32" s="6">
        <f>SUM(H25:H31)</f>
        <v>2183110.5</v>
      </c>
      <c r="J32" s="6"/>
      <c r="K32" s="7"/>
    </row>
    <row r="33" spans="1:11">
      <c r="A33" s="8" t="s">
        <v>5</v>
      </c>
      <c r="B33" s="6"/>
      <c r="C33" s="6">
        <f>+ROUNDDOWN(C23-C32,-3)</f>
        <v>5794000</v>
      </c>
      <c r="D33" s="6"/>
      <c r="E33" s="6"/>
      <c r="F33" s="6">
        <f>+ROUNDDOWN(F23-F32,-3)</f>
        <v>5921000</v>
      </c>
      <c r="G33" s="6"/>
      <c r="H33" s="6"/>
      <c r="I33" s="6">
        <f>+ROUNDDOWN(I23-I32,-3)</f>
        <v>5921000</v>
      </c>
      <c r="J33" s="6"/>
      <c r="K33" s="7"/>
    </row>
    <row r="34" spans="1:11" ht="37.5">
      <c r="A34" s="10" t="s">
        <v>17</v>
      </c>
      <c r="B34" s="6"/>
      <c r="C34" s="6">
        <f>+C33*VLOOKUP(C33,税率表等!A6:G12,5,TRUE)-VLOOKUP(C33,税率表等!A6:G12,7,TRUE)</f>
        <v>731300</v>
      </c>
      <c r="D34" s="6"/>
      <c r="E34" s="6"/>
      <c r="F34" s="6">
        <f>+F33*0.06</f>
        <v>355260</v>
      </c>
      <c r="G34" s="6"/>
      <c r="H34" s="6"/>
      <c r="I34" s="6">
        <f>+I33*0.04</f>
        <v>236840</v>
      </c>
      <c r="J34" s="6"/>
      <c r="K34" s="7"/>
    </row>
    <row r="35" spans="1:11">
      <c r="A35" s="8" t="s">
        <v>76</v>
      </c>
      <c r="B35" s="6"/>
      <c r="C35" s="9" t="s">
        <v>10</v>
      </c>
      <c r="D35" s="6"/>
      <c r="E35" s="6"/>
      <c r="F35" s="6">
        <v>1500</v>
      </c>
      <c r="G35" s="6"/>
      <c r="H35" s="6"/>
      <c r="I35" s="6">
        <v>1000</v>
      </c>
      <c r="J35" s="6"/>
      <c r="K35" s="7"/>
    </row>
    <row r="36" spans="1:11" ht="37.5">
      <c r="A36" s="10" t="s">
        <v>14</v>
      </c>
      <c r="B36" s="6"/>
      <c r="C36" s="9" t="s">
        <v>10</v>
      </c>
      <c r="D36" s="6"/>
      <c r="E36" s="6"/>
      <c r="F36" s="6">
        <f>+F34-F35</f>
        <v>353760</v>
      </c>
      <c r="G36" s="6"/>
      <c r="H36" s="6"/>
      <c r="I36" s="6">
        <f>+I34-I35</f>
        <v>235840</v>
      </c>
      <c r="J36" s="6"/>
      <c r="K36" s="7"/>
    </row>
    <row r="37" spans="1:11">
      <c r="A37" s="8" t="s">
        <v>77</v>
      </c>
      <c r="B37" s="6"/>
      <c r="C37" s="6">
        <f>+IF(C33&gt;10000000,ROUNDDOWN(C21*0.05,0),ROUNDDOWN(C21*0.1,0))</f>
        <v>0</v>
      </c>
      <c r="D37" s="6"/>
      <c r="E37" s="6"/>
      <c r="F37" s="6">
        <v>0</v>
      </c>
      <c r="G37" s="6"/>
      <c r="H37" s="6"/>
      <c r="I37" s="6">
        <v>0</v>
      </c>
      <c r="J37" s="6"/>
      <c r="K37" s="7"/>
    </row>
    <row r="38" spans="1:11">
      <c r="A38" s="8" t="s">
        <v>15</v>
      </c>
      <c r="B38" s="6"/>
      <c r="C38" s="9">
        <f>IF((C34-C37)&gt;400000,400000,C34-C37)</f>
        <v>400000</v>
      </c>
      <c r="D38" s="6"/>
      <c r="E38" s="6"/>
      <c r="F38" s="9">
        <f>+IF(IF((400000-C38)&gt;0,ROUNDDOWN((400000-C38)*0.6,0),0)&gt;136500*0.6,136500*0.06,IF((400000-C38)&gt;0,ROUNDDOWN((400000-C38)*0.6,0),0))</f>
        <v>0</v>
      </c>
      <c r="G38" s="9"/>
      <c r="H38" s="9"/>
      <c r="I38" s="9">
        <f>IF(IF((400000-C38)&gt;0,ROUNDDOWN((400000-C38)*0.4,0),0)&gt;136500*0.4,136500*0.4,IF((400000-C38)&gt;0,ROUNDDOWN((400000-C38)*0.4,0),0))</f>
        <v>0</v>
      </c>
      <c r="J38" s="6"/>
      <c r="K38" s="7"/>
    </row>
    <row r="39" spans="1:11">
      <c r="A39" s="8" t="s">
        <v>8</v>
      </c>
      <c r="B39" s="6"/>
      <c r="C39" s="9" t="s">
        <v>10</v>
      </c>
      <c r="D39" s="6"/>
      <c r="E39" s="6"/>
      <c r="F39" s="6">
        <f>+ROUNDDOWN(IF((IF(E7&gt;ROUNDDOWN(F23*VLOOKUP(C33,税率表等!A6:G12,5,TRUE),0),ROUNDDOWN(F23*VLOOKUP(C33,税率表等!A6:G12,5,TRUE),0),E7)-2000)*0.06&lt;0,0,(IF(E7&gt;ROUNDDOWN(F23*VLOOKUP(C33,税率表等!A6:G12,5,TRUE),0),ROUNDDOWN(F23*VLOOKUP(C33,税率表等!A6:G12,5,TRUE),0),E7)-2000)*0.06),0)</f>
        <v>0</v>
      </c>
      <c r="G39" s="6"/>
      <c r="H39" s="6"/>
      <c r="I39" s="6">
        <f>+ROUNDDOWN(IF((IF(H7&gt;ROUNDDOWN(I23*VLOOKUP(C33,税率表等!A6:G12,5,TRUE),0),ROUNDDOWN(I23*VLOOKUP(C33,税率表等!A6:G12,5,TRUE),0),H7)-2000)*0.04&lt;0,0,(IF(H7&gt;ROUNDDOWN(I23*VLOOKUP(C33,税率表等!A6:G12,5,TRUE),0),ROUNDDOWN(I23*VLOOKUP(C33,税率表等!A6:G12,5,TRUE),0),H7)-2000)*0.04),0)</f>
        <v>0</v>
      </c>
      <c r="J39" s="6"/>
      <c r="K39" s="7"/>
    </row>
    <row r="40" spans="1:11">
      <c r="A40" s="8" t="s">
        <v>9</v>
      </c>
      <c r="B40" s="6"/>
      <c r="C40" s="9" t="s">
        <v>10</v>
      </c>
      <c r="D40" s="6"/>
      <c r="E40" s="6"/>
      <c r="F40" s="6">
        <f>+IF(IF(ROUNDDOWN((E7-2000)*(0.9-VLOOKUP(C33,税率表等!A6:G12,5,TRUE)*1.021)*0.6,0)&gt;ROUNDDOWN(F36*0.2,0),ROUNDDOWN(F36*0.2,0),ROUNDDOWN((E7-2000)*(0.9-VLOOKUP(C33,税率表等!A6:G12,5,TRUE)*1.021)*0.6,0))&lt;0,0,IF(ROUNDDOWN((E7-2000)*(0.9-VLOOKUP(C33,税率表等!A6:G12,5,TRUE)*1.021)*0.6,0)&gt;ROUNDDOWN(F36*0.2,0),ROUNDDOWN(F36*0.2,0),ROUNDDOWN((E7-2000)*(0.9-VLOOKUP(C33,税率表等!A6:G12,5,TRUE)*1.021)*0.6,0)))</f>
        <v>0</v>
      </c>
      <c r="G40" s="6"/>
      <c r="H40" s="6"/>
      <c r="I40" s="6">
        <f>+IF(IF(ROUNDDOWN((H7-2000)*(0.9-VLOOKUP(C33,税率表等!A6:G12,5,TRUE)*1.021)*0.4,0)&gt;ROUNDDOWN(I36*0.2,0),ROUNDDOWN(I36*0.2,0),ROUNDDOWN((H7-2000)*(0.9-VLOOKUP(C33,税率表等!A6:G12,5,TRUE)*1.021)*0.4,0))&lt;0,0,IF(ROUNDDOWN((H7-2000)*(0.9-VLOOKUP(C33,税率表等!A6:G12,5,TRUE)*1.021)*0.4,0)&gt;ROUNDDOWN(I36*0.2,0),ROUNDDOWN(I36*0.2,0),ROUNDDOWN((H7-2000)*(0.9-VLOOKUP(C33,税率表等!A6:G12,5,TRUE)*1.021)*0.4,0)))</f>
        <v>0</v>
      </c>
      <c r="J40" s="6"/>
      <c r="K40" s="7"/>
    </row>
    <row r="41" spans="1:11">
      <c r="A41" s="8" t="s">
        <v>12</v>
      </c>
      <c r="B41" s="6"/>
      <c r="C41" s="9" t="s">
        <v>10</v>
      </c>
      <c r="D41" s="6"/>
      <c r="E41" s="6"/>
      <c r="F41" s="6">
        <v>3500</v>
      </c>
      <c r="G41" s="6"/>
      <c r="H41" s="6"/>
      <c r="I41" s="6">
        <v>1500</v>
      </c>
      <c r="J41" s="6"/>
      <c r="K41" s="7"/>
    </row>
    <row r="42" spans="1:11">
      <c r="A42" s="8" t="s">
        <v>19</v>
      </c>
      <c r="B42" s="6"/>
      <c r="C42" s="6">
        <f>+C34-C37-C38</f>
        <v>331300</v>
      </c>
      <c r="D42" s="6"/>
      <c r="E42" s="6"/>
      <c r="F42" s="6">
        <f>+ROUNDDOWN(F36-F37-F38-F39-F40+F41,-2)</f>
        <v>357200</v>
      </c>
      <c r="G42" s="6"/>
      <c r="H42" s="6"/>
      <c r="I42" s="6">
        <f>+ROUNDDOWN(I36-I37-I38-I39-I40+I41,-2)</f>
        <v>237300</v>
      </c>
      <c r="J42" s="6"/>
      <c r="K42" s="7"/>
    </row>
    <row r="43" spans="1:11">
      <c r="A43" s="8" t="s">
        <v>6</v>
      </c>
      <c r="B43" s="6"/>
      <c r="C43" s="6">
        <f>+ROUNDDOWN(C42*0.021,0)</f>
        <v>6957</v>
      </c>
      <c r="D43" s="6"/>
      <c r="E43" s="6"/>
      <c r="F43" s="9" t="s">
        <v>10</v>
      </c>
      <c r="G43" s="6"/>
      <c r="H43" s="6"/>
      <c r="I43" s="9" t="s">
        <v>10</v>
      </c>
      <c r="J43" s="6"/>
      <c r="K43" s="7"/>
    </row>
    <row r="44" spans="1:11" ht="38.25" thickBot="1">
      <c r="A44" s="14" t="s">
        <v>18</v>
      </c>
      <c r="B44" s="11"/>
      <c r="C44" s="11">
        <f>SUM(C42:C43)</f>
        <v>338257</v>
      </c>
      <c r="D44" s="11"/>
      <c r="E44" s="11"/>
      <c r="F44" s="11">
        <f>SUM(F42:F43)</f>
        <v>357200</v>
      </c>
      <c r="G44" s="11"/>
      <c r="H44" s="11"/>
      <c r="I44" s="11">
        <f>SUM(I42:I43)</f>
        <v>237300</v>
      </c>
      <c r="J44" s="11"/>
      <c r="K44" s="12">
        <f>SUM(C44:J44)</f>
        <v>932757</v>
      </c>
    </row>
    <row r="45" spans="1:11">
      <c r="A45" s="2"/>
      <c r="B45" s="3"/>
      <c r="C45" s="3"/>
      <c r="D45" s="3"/>
      <c r="E45" s="3"/>
      <c r="F45" s="3"/>
      <c r="G45" s="3"/>
      <c r="H45" s="3"/>
      <c r="I45" s="3"/>
      <c r="J45" s="3"/>
      <c r="K45" s="20"/>
    </row>
    <row r="46" spans="1:11" ht="19.5" thickBot="1">
      <c r="A46" s="14" t="s">
        <v>47</v>
      </c>
      <c r="B46" s="11">
        <f>IF(B9&lt;=1618999,B9,IF(B9&gt;=6600000,B9,ROUNDDOWN((B9-VLOOKUP(B9,税率表等!A30:G34,7,TRUE))/VLOOKUP(B9,税率表等!A30:G34,5,TRUE),0)*VLOOKUP(B9,税率表等!A30:G34,5,TRUE)+VLOOKUP(B9,税率表等!A30:G34,7,TRUE)))</f>
        <v>9894327</v>
      </c>
      <c r="C46" s="11"/>
      <c r="D46" s="11"/>
      <c r="E46" s="11"/>
      <c r="F46" s="11"/>
      <c r="G46" s="11"/>
      <c r="H46" s="11"/>
      <c r="I46" s="11"/>
      <c r="J46" s="11"/>
      <c r="K46" s="12"/>
    </row>
    <row r="47" spans="1:11" s="22" customFormat="1">
      <c r="A47" s="22" t="s">
        <v>71</v>
      </c>
    </row>
    <row r="48" spans="1:11" s="22" customFormat="1">
      <c r="A48" s="1" t="s">
        <v>78</v>
      </c>
    </row>
    <row r="49" spans="1:1" s="22" customFormat="1">
      <c r="A49" s="1" t="s">
        <v>79</v>
      </c>
    </row>
    <row r="50" spans="1:1" s="22" customFormat="1">
      <c r="A50" s="1" t="s">
        <v>80</v>
      </c>
    </row>
    <row r="51" spans="1:1" s="22" customFormat="1"/>
  </sheetData>
  <phoneticPr fontId="1"/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headerFooter>
    <oddHeader>&amp;R&amp;D/&amp;T</oddHeader>
    <oddFooter>&amp;L&amp;F/&amp;A&amp;R&amp;P/&amp;N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37F4-9313-46D4-B0C1-51767C461A9F}">
  <sheetPr>
    <pageSetUpPr fitToPage="1"/>
  </sheetPr>
  <dimension ref="A1:K60"/>
  <sheetViews>
    <sheetView tabSelected="1" topLeftCell="A40" zoomScaleNormal="100" workbookViewId="0">
      <selection activeCell="H54" sqref="H54"/>
    </sheetView>
  </sheetViews>
  <sheetFormatPr defaultRowHeight="18.75"/>
  <cols>
    <col min="1" max="1" width="33.25" style="1" customWidth="1"/>
    <col min="2" max="3" width="11.625" style="1" customWidth="1"/>
    <col min="4" max="4" width="2.625" style="1" customWidth="1"/>
    <col min="5" max="6" width="11.625" style="1" customWidth="1"/>
    <col min="7" max="7" width="2.625" style="1" customWidth="1"/>
    <col min="8" max="9" width="11.625" style="1" customWidth="1"/>
    <col min="10" max="10" width="2.625" style="1" customWidth="1"/>
    <col min="11" max="11" width="11.625" style="1" customWidth="1"/>
    <col min="12" max="12" width="9" style="1"/>
    <col min="13" max="13" width="10" style="1" bestFit="1" customWidth="1"/>
    <col min="14" max="16384" width="9" style="1"/>
  </cols>
  <sheetData>
    <row r="1" spans="1:11">
      <c r="A1" s="1" t="s">
        <v>62</v>
      </c>
    </row>
    <row r="2" spans="1:11">
      <c r="A2" s="1" t="str">
        <f>+現況!A2</f>
        <v>令和3年分</v>
      </c>
    </row>
    <row r="3" spans="1:11">
      <c r="A3" s="1" t="str">
        <f>+現況!A3</f>
        <v>菅　義偉　様</v>
      </c>
    </row>
    <row r="4" spans="1:11">
      <c r="A4" s="24">
        <f ca="1">+現況!A4</f>
        <v>44203</v>
      </c>
    </row>
    <row r="5" spans="1:11" ht="19.5" thickBot="1">
      <c r="K5" s="1" t="s">
        <v>24</v>
      </c>
    </row>
    <row r="6" spans="1:11">
      <c r="A6" s="2" t="s">
        <v>23</v>
      </c>
      <c r="B6" s="13" t="s">
        <v>7</v>
      </c>
      <c r="C6" s="13"/>
      <c r="D6" s="3"/>
      <c r="E6" s="13" t="s">
        <v>67</v>
      </c>
      <c r="F6" s="13"/>
      <c r="G6" s="3"/>
      <c r="H6" s="13" t="s">
        <v>30</v>
      </c>
      <c r="I6" s="13"/>
      <c r="J6" s="3"/>
      <c r="K6" s="15" t="s">
        <v>13</v>
      </c>
    </row>
    <row r="7" spans="1:11" ht="37.5">
      <c r="A7" s="4" t="s">
        <v>11</v>
      </c>
      <c r="B7" s="5"/>
      <c r="C7" s="6"/>
      <c r="D7" s="6"/>
      <c r="E7" s="6">
        <f>+B7</f>
        <v>0</v>
      </c>
      <c r="F7" s="6"/>
      <c r="G7" s="6"/>
      <c r="H7" s="6">
        <f>+B7</f>
        <v>0</v>
      </c>
      <c r="I7" s="6"/>
      <c r="J7" s="6"/>
      <c r="K7" s="7"/>
    </row>
    <row r="8" spans="1:11">
      <c r="A8" s="8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>
      <c r="A9" s="8" t="s">
        <v>54</v>
      </c>
      <c r="B9" s="6">
        <f>+現況!B9</f>
        <v>9894327</v>
      </c>
      <c r="C9" s="6"/>
      <c r="D9" s="6"/>
      <c r="E9" s="6">
        <f>+B9</f>
        <v>9894327</v>
      </c>
      <c r="F9" s="6"/>
      <c r="G9" s="6"/>
      <c r="H9" s="6">
        <f>+E9</f>
        <v>9894327</v>
      </c>
      <c r="I9" s="6"/>
      <c r="J9" s="6"/>
      <c r="K9" s="7"/>
    </row>
    <row r="10" spans="1:11">
      <c r="A10" s="8" t="s">
        <v>1</v>
      </c>
      <c r="B10" s="21">
        <f>+B9-C12-B11</f>
        <v>1950000</v>
      </c>
      <c r="C10" s="6"/>
      <c r="D10" s="6"/>
      <c r="E10" s="6">
        <f>+B10</f>
        <v>1950000</v>
      </c>
      <c r="F10" s="6"/>
      <c r="G10" s="6"/>
      <c r="H10" s="6">
        <f>+E10</f>
        <v>1950000</v>
      </c>
      <c r="I10" s="6"/>
      <c r="J10" s="6"/>
      <c r="K10" s="7"/>
    </row>
    <row r="11" spans="1:11">
      <c r="A11" s="8" t="s">
        <v>68</v>
      </c>
      <c r="B11" s="21">
        <f>+IF(B9&gt;10000000,1500000*0.1,IF(B9&lt;8500000,0,ROUNDUP((B9-8500000)*0.1,0)))</f>
        <v>139433</v>
      </c>
      <c r="C11" s="6"/>
      <c r="D11" s="6"/>
      <c r="E11" s="6">
        <f>+B11</f>
        <v>139433</v>
      </c>
      <c r="F11" s="6"/>
      <c r="G11" s="6"/>
      <c r="H11" s="6">
        <f>+E11</f>
        <v>139433</v>
      </c>
      <c r="I11" s="6"/>
      <c r="J11" s="6"/>
      <c r="K11" s="7"/>
    </row>
    <row r="12" spans="1:11">
      <c r="A12" s="8" t="s">
        <v>2</v>
      </c>
      <c r="B12" s="6"/>
      <c r="C12" s="6">
        <f>+ROUNDDOWN(B54*VLOOKUP(B54,税率表等!A16:G26,5,TRUE)+VLOOKUP(B54,税率表等!A16:G26,7,TRUE),0)-B11</f>
        <v>7804894</v>
      </c>
      <c r="D12" s="6"/>
      <c r="E12" s="6"/>
      <c r="F12" s="6">
        <f>+C12</f>
        <v>7804894</v>
      </c>
      <c r="G12" s="6"/>
      <c r="H12" s="6"/>
      <c r="I12" s="6">
        <f>+F12</f>
        <v>7804894</v>
      </c>
      <c r="J12" s="6"/>
      <c r="K12" s="7"/>
    </row>
    <row r="13" spans="1:11">
      <c r="A13" s="8"/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>
      <c r="A14" s="8" t="s">
        <v>51</v>
      </c>
      <c r="B14" s="6">
        <f>+現況!B14</f>
        <v>300000</v>
      </c>
      <c r="C14" s="6"/>
      <c r="D14" s="6"/>
      <c r="E14" s="6">
        <v>0</v>
      </c>
      <c r="F14" s="6"/>
      <c r="G14" s="6"/>
      <c r="H14" s="6">
        <f>+E14</f>
        <v>0</v>
      </c>
      <c r="I14" s="6"/>
      <c r="J14" s="6"/>
      <c r="K14" s="7"/>
    </row>
    <row r="15" spans="1:11">
      <c r="A15" s="8" t="s">
        <v>52</v>
      </c>
      <c r="B15" s="6">
        <f>+現況!B15</f>
        <v>0</v>
      </c>
      <c r="C15" s="6"/>
      <c r="D15" s="6"/>
      <c r="E15" s="6">
        <f>+B15</f>
        <v>0</v>
      </c>
      <c r="F15" s="6"/>
      <c r="G15" s="6"/>
      <c r="H15" s="6">
        <f>+E15</f>
        <v>0</v>
      </c>
      <c r="I15" s="6"/>
      <c r="J15" s="6"/>
      <c r="K15" s="7"/>
    </row>
    <row r="16" spans="1:11">
      <c r="A16" s="8" t="s">
        <v>53</v>
      </c>
      <c r="B16" s="6">
        <f>+現況!B16</f>
        <v>0</v>
      </c>
      <c r="C16" s="6"/>
      <c r="D16" s="6"/>
      <c r="E16" s="6">
        <f>+B16</f>
        <v>0</v>
      </c>
      <c r="F16" s="6"/>
      <c r="G16" s="6"/>
      <c r="H16" s="6">
        <f>+E16</f>
        <v>0</v>
      </c>
      <c r="I16" s="6"/>
      <c r="J16" s="6"/>
      <c r="K16" s="7"/>
    </row>
    <row r="17" spans="1:11">
      <c r="A17" s="8" t="s">
        <v>55</v>
      </c>
      <c r="B17" s="6"/>
      <c r="C17" s="6">
        <f>+B14-B15+B16</f>
        <v>300000</v>
      </c>
      <c r="D17" s="6"/>
      <c r="E17" s="6"/>
      <c r="F17" s="6">
        <f>+C17</f>
        <v>300000</v>
      </c>
      <c r="G17" s="6"/>
      <c r="H17" s="6"/>
      <c r="I17" s="6">
        <f>+F17</f>
        <v>300000</v>
      </c>
      <c r="J17" s="6"/>
      <c r="K17" s="7"/>
    </row>
    <row r="18" spans="1:11">
      <c r="A18" s="8"/>
      <c r="B18" s="6"/>
      <c r="C18" s="6"/>
      <c r="D18" s="6"/>
      <c r="E18" s="6"/>
      <c r="F18" s="6"/>
      <c r="G18" s="6"/>
      <c r="H18" s="6"/>
      <c r="I18" s="6"/>
      <c r="J18" s="6"/>
      <c r="K18" s="7"/>
    </row>
    <row r="19" spans="1:11">
      <c r="A19" s="8" t="s">
        <v>56</v>
      </c>
      <c r="B19" s="6">
        <f>+現況!B19</f>
        <v>0</v>
      </c>
      <c r="C19" s="6"/>
      <c r="D19" s="6"/>
      <c r="E19" s="6">
        <v>0</v>
      </c>
      <c r="F19" s="6"/>
      <c r="G19" s="6"/>
      <c r="H19" s="6">
        <f>+E19</f>
        <v>0</v>
      </c>
      <c r="I19" s="6"/>
      <c r="J19" s="6"/>
      <c r="K19" s="7"/>
    </row>
    <row r="20" spans="1:11">
      <c r="A20" s="8" t="s">
        <v>29</v>
      </c>
      <c r="B20" s="6">
        <f>+現況!B20</f>
        <v>0</v>
      </c>
      <c r="C20" s="6"/>
      <c r="D20" s="6"/>
      <c r="E20" s="6">
        <v>0</v>
      </c>
      <c r="F20" s="6"/>
      <c r="G20" s="6"/>
      <c r="H20" s="6">
        <f>+E20</f>
        <v>0</v>
      </c>
      <c r="I20" s="6"/>
      <c r="J20" s="6"/>
      <c r="K20" s="7"/>
    </row>
    <row r="21" spans="1:11">
      <c r="A21" s="8" t="s">
        <v>3</v>
      </c>
      <c r="B21" s="6"/>
      <c r="C21" s="6">
        <f>+B19-B20</f>
        <v>0</v>
      </c>
      <c r="D21" s="6"/>
      <c r="E21" s="6"/>
      <c r="F21" s="6">
        <f>+C21</f>
        <v>0</v>
      </c>
      <c r="G21" s="6"/>
      <c r="H21" s="6"/>
      <c r="I21" s="6">
        <f>+F21</f>
        <v>0</v>
      </c>
      <c r="J21" s="6"/>
      <c r="K21" s="7"/>
    </row>
    <row r="22" spans="1:11">
      <c r="A22" s="8"/>
      <c r="B22" s="6"/>
      <c r="C22" s="6"/>
      <c r="D22" s="6"/>
      <c r="E22" s="6"/>
      <c r="F22" s="6"/>
      <c r="G22" s="6"/>
      <c r="H22" s="6"/>
      <c r="I22" s="6"/>
      <c r="J22" s="6"/>
      <c r="K22" s="7"/>
    </row>
    <row r="23" spans="1:11">
      <c r="A23" s="8" t="s">
        <v>4</v>
      </c>
      <c r="B23" s="6"/>
      <c r="C23" s="6">
        <f>SUM(C9:C21)</f>
        <v>8104894</v>
      </c>
      <c r="D23" s="6"/>
      <c r="E23" s="6"/>
      <c r="F23" s="6">
        <f>+C23</f>
        <v>8104894</v>
      </c>
      <c r="G23" s="6"/>
      <c r="H23" s="6"/>
      <c r="I23" s="6">
        <f>+F23</f>
        <v>8104894</v>
      </c>
      <c r="J23" s="6"/>
      <c r="K23" s="7"/>
    </row>
    <row r="24" spans="1:11">
      <c r="A24" s="8"/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>
      <c r="A25" s="8" t="s">
        <v>57</v>
      </c>
      <c r="B25" s="6">
        <f>+現況!B25</f>
        <v>1376027</v>
      </c>
      <c r="C25" s="6"/>
      <c r="D25" s="6"/>
      <c r="E25" s="6">
        <f>+B25</f>
        <v>1376027</v>
      </c>
      <c r="F25" s="6"/>
      <c r="G25" s="6"/>
      <c r="H25" s="6">
        <f>+E25</f>
        <v>1376027</v>
      </c>
      <c r="I25" s="6"/>
      <c r="J25" s="6"/>
      <c r="K25" s="7"/>
    </row>
    <row r="26" spans="1:11">
      <c r="A26" s="8" t="s">
        <v>58</v>
      </c>
      <c r="B26" s="6">
        <f>+現況!B26</f>
        <v>50000</v>
      </c>
      <c r="C26" s="6"/>
      <c r="D26" s="6"/>
      <c r="E26" s="6">
        <f>+現況!E26</f>
        <v>35000</v>
      </c>
      <c r="F26" s="6"/>
      <c r="G26" s="6"/>
      <c r="H26" s="6">
        <f>+E26</f>
        <v>35000</v>
      </c>
      <c r="I26" s="6"/>
      <c r="J26" s="6"/>
      <c r="K26" s="7"/>
    </row>
    <row r="27" spans="1:11">
      <c r="A27" s="8" t="s">
        <v>59</v>
      </c>
      <c r="B27" s="6">
        <f>+現況!B27</f>
        <v>24167</v>
      </c>
      <c r="C27" s="6"/>
      <c r="D27" s="6"/>
      <c r="E27" s="6">
        <f>+B27*0.5</f>
        <v>12083.5</v>
      </c>
      <c r="F27" s="6"/>
      <c r="G27" s="6"/>
      <c r="H27" s="6">
        <f t="shared" ref="H27" si="0">+E27</f>
        <v>12083.5</v>
      </c>
      <c r="I27" s="6"/>
      <c r="J27" s="6"/>
      <c r="K27" s="7"/>
    </row>
    <row r="28" spans="1:11">
      <c r="A28" s="8" t="s">
        <v>31</v>
      </c>
      <c r="B28" s="6">
        <f>+現況!B28</f>
        <v>380000</v>
      </c>
      <c r="C28" s="6"/>
      <c r="D28" s="6"/>
      <c r="E28" s="6">
        <f>+現況!E28</f>
        <v>330000</v>
      </c>
      <c r="F28" s="6"/>
      <c r="G28" s="6"/>
      <c r="H28" s="6">
        <f>+E28</f>
        <v>330000</v>
      </c>
      <c r="I28" s="6"/>
      <c r="J28" s="6"/>
      <c r="K28" s="7"/>
    </row>
    <row r="29" spans="1:11">
      <c r="A29" s="8" t="s">
        <v>32</v>
      </c>
      <c r="B29" s="6">
        <f>+現況!B29</f>
        <v>480000</v>
      </c>
      <c r="C29" s="6"/>
      <c r="D29" s="6"/>
      <c r="E29" s="6">
        <f>+現況!E29</f>
        <v>430000</v>
      </c>
      <c r="F29" s="6"/>
      <c r="G29" s="6"/>
      <c r="H29" s="6">
        <f>+E29</f>
        <v>430000</v>
      </c>
      <c r="I29" s="6"/>
      <c r="J29" s="6"/>
      <c r="K29" s="7"/>
    </row>
    <row r="30" spans="1:11">
      <c r="A30" s="8" t="s">
        <v>33</v>
      </c>
      <c r="B30" s="6">
        <f>+現況!B30</f>
        <v>0</v>
      </c>
      <c r="C30" s="6"/>
      <c r="D30" s="6"/>
      <c r="E30" s="6">
        <f>+B30</f>
        <v>0</v>
      </c>
      <c r="F30" s="6"/>
      <c r="G30" s="6"/>
      <c r="H30" s="6">
        <f>+E30</f>
        <v>0</v>
      </c>
      <c r="I30" s="6"/>
      <c r="J30" s="6"/>
      <c r="K30" s="7"/>
    </row>
    <row r="31" spans="1:11">
      <c r="A31" s="8" t="s">
        <v>34</v>
      </c>
      <c r="B31" s="6">
        <f>+IF(IF(B7-2000&gt;ROUNDDOWN(C23*0.4,0),ROUNDDOWN(C23*0.4,0),B7-2000)&gt;0,IF(B7-2000&gt;ROUNDDOWN(C23*0.4,0),ROUNDDOWN(C23*0.4,0),B7-2000),0)</f>
        <v>0</v>
      </c>
      <c r="C31" s="6"/>
      <c r="D31" s="6"/>
      <c r="E31" s="9" t="s">
        <v>10</v>
      </c>
      <c r="F31" s="6"/>
      <c r="G31" s="6"/>
      <c r="H31" s="9" t="s">
        <v>10</v>
      </c>
      <c r="I31" s="6"/>
      <c r="J31" s="6"/>
      <c r="K31" s="7"/>
    </row>
    <row r="32" spans="1:11">
      <c r="A32" s="8" t="s">
        <v>35</v>
      </c>
      <c r="B32" s="6"/>
      <c r="C32" s="6">
        <f>SUM(B25:B31)</f>
        <v>2310194</v>
      </c>
      <c r="D32" s="6"/>
      <c r="E32" s="6"/>
      <c r="F32" s="6">
        <f>SUM(E25:E31)</f>
        <v>2183110.5</v>
      </c>
      <c r="G32" s="6"/>
      <c r="H32" s="6"/>
      <c r="I32" s="6">
        <f>SUM(H25:H31)</f>
        <v>2183110.5</v>
      </c>
      <c r="J32" s="6"/>
      <c r="K32" s="7"/>
    </row>
    <row r="33" spans="1:11">
      <c r="A33" s="8" t="s">
        <v>5</v>
      </c>
      <c r="B33" s="6"/>
      <c r="C33" s="6">
        <f>+ROUNDDOWN(C23-C32,-3)</f>
        <v>5794000</v>
      </c>
      <c r="D33" s="6"/>
      <c r="E33" s="6"/>
      <c r="F33" s="6">
        <f>+ROUNDDOWN(F23-F32,-3)</f>
        <v>5921000</v>
      </c>
      <c r="G33" s="6"/>
      <c r="H33" s="6"/>
      <c r="I33" s="6">
        <f>+ROUNDDOWN(I23-I32,-3)</f>
        <v>5921000</v>
      </c>
      <c r="J33" s="6"/>
      <c r="K33" s="7"/>
    </row>
    <row r="34" spans="1:11" ht="37.5">
      <c r="A34" s="10" t="s">
        <v>17</v>
      </c>
      <c r="B34" s="6"/>
      <c r="C34" s="6">
        <f>+C33*VLOOKUP(C33,税率表等!A6:G12,5,TRUE)-VLOOKUP(C33,税率表等!A6:G12,7,TRUE)</f>
        <v>731300</v>
      </c>
      <c r="D34" s="6"/>
      <c r="E34" s="6"/>
      <c r="F34" s="6">
        <f>+F33*0.06</f>
        <v>355260</v>
      </c>
      <c r="G34" s="6"/>
      <c r="H34" s="6"/>
      <c r="I34" s="6">
        <f>+I33*0.04</f>
        <v>236840</v>
      </c>
      <c r="J34" s="6"/>
      <c r="K34" s="7"/>
    </row>
    <row r="35" spans="1:11">
      <c r="A35" s="8" t="s">
        <v>66</v>
      </c>
      <c r="B35" s="6"/>
      <c r="C35" s="9" t="s">
        <v>10</v>
      </c>
      <c r="D35" s="6"/>
      <c r="E35" s="6"/>
      <c r="F35" s="6">
        <f>+現況!F35</f>
        <v>1500</v>
      </c>
      <c r="G35" s="6"/>
      <c r="H35" s="6"/>
      <c r="I35" s="6">
        <f>+現況!I35</f>
        <v>1000</v>
      </c>
      <c r="J35" s="6"/>
      <c r="K35" s="7"/>
    </row>
    <row r="36" spans="1:11" ht="37.5">
      <c r="A36" s="10" t="s">
        <v>14</v>
      </c>
      <c r="B36" s="6"/>
      <c r="C36" s="9" t="s">
        <v>10</v>
      </c>
      <c r="D36" s="6"/>
      <c r="E36" s="6"/>
      <c r="F36" s="6">
        <f>+F34-F35</f>
        <v>353760</v>
      </c>
      <c r="G36" s="6"/>
      <c r="H36" s="6"/>
      <c r="I36" s="6">
        <f>+I34-I35</f>
        <v>235840</v>
      </c>
      <c r="J36" s="6"/>
      <c r="K36" s="7"/>
    </row>
    <row r="37" spans="1:11">
      <c r="A37" s="8" t="s">
        <v>60</v>
      </c>
      <c r="B37" s="6"/>
      <c r="C37" s="6">
        <f>+ROUNDDOWN(B19*0.1,0)</f>
        <v>0</v>
      </c>
      <c r="D37" s="6"/>
      <c r="E37" s="6"/>
      <c r="F37" s="6">
        <v>0</v>
      </c>
      <c r="G37" s="6"/>
      <c r="H37" s="6"/>
      <c r="I37" s="6">
        <v>0</v>
      </c>
      <c r="J37" s="6"/>
      <c r="K37" s="7"/>
    </row>
    <row r="38" spans="1:11">
      <c r="A38" s="8" t="s">
        <v>15</v>
      </c>
      <c r="B38" s="6"/>
      <c r="C38" s="9">
        <f>IF((C34-C37)&gt;400000,400000,C34-C37)</f>
        <v>400000</v>
      </c>
      <c r="D38" s="6"/>
      <c r="E38" s="6"/>
      <c r="F38" s="9">
        <f>+IF(IF((400000-C38)&gt;0,ROUNDDOWN((400000-C38)*0.6,0),0)&gt;136500*0.6,136500*0.06,IF((400000-C38)&gt;0,ROUNDDOWN((400000-C38)*0.6,0),0))</f>
        <v>0</v>
      </c>
      <c r="G38" s="9"/>
      <c r="H38" s="9"/>
      <c r="I38" s="9">
        <f>IF(IF((400000-C38)&gt;0,ROUNDDOWN((400000-C38)*0.4,0),0)&gt;136500*0.4,136500*0.4,IF((400000-C38)&gt;0,ROUNDDOWN((400000-C38)*0.4,0),0))</f>
        <v>0</v>
      </c>
      <c r="J38" s="6"/>
      <c r="K38" s="7"/>
    </row>
    <row r="39" spans="1:11">
      <c r="A39" s="8" t="s">
        <v>8</v>
      </c>
      <c r="B39" s="6"/>
      <c r="C39" s="9" t="s">
        <v>10</v>
      </c>
      <c r="D39" s="6"/>
      <c r="E39" s="6"/>
      <c r="F39" s="6">
        <f>+ROUNDDOWN(IF((IF(E7&gt;ROUNDDOWN(F23*VLOOKUP(C33,税率表等!A6:G12,5,TRUE),0),ROUNDDOWN(F23*VLOOKUP(C33,税率表等!A6:G12,5,TRUE),0),E7)-2000)*0.06&lt;0,0,(IF(E7&gt;ROUNDDOWN(F23*VLOOKUP(C33,税率表等!A6:G12,5,TRUE),0),ROUNDDOWN(F23*VLOOKUP(C33,税率表等!A6:G12,5,TRUE),0),E7)-2000)*0.06),0)</f>
        <v>0</v>
      </c>
      <c r="G39" s="6"/>
      <c r="H39" s="6"/>
      <c r="I39" s="6">
        <f>+ROUNDDOWN(IF((IF(H7&gt;ROUNDDOWN(I23*VLOOKUP(C33,税率表等!A6:G12,5,TRUE),0),ROUNDDOWN(I23*VLOOKUP(C33,税率表等!A6:G12,5,TRUE),0),H7)-2000)*0.04&lt;0,0,(IF(H7&gt;ROUNDDOWN(I23*VLOOKUP(C33,税率表等!A6:G12,5,TRUE),0),ROUNDDOWN(I23*VLOOKUP(C33,税率表等!A6:G12,5,TRUE),0),H7)-2000)*0.04),0)</f>
        <v>0</v>
      </c>
      <c r="J39" s="6"/>
      <c r="K39" s="7"/>
    </row>
    <row r="40" spans="1:11">
      <c r="A40" s="8" t="s">
        <v>9</v>
      </c>
      <c r="B40" s="6"/>
      <c r="C40" s="9" t="s">
        <v>10</v>
      </c>
      <c r="D40" s="6"/>
      <c r="E40" s="6"/>
      <c r="F40" s="6">
        <f>+IF(IF(ROUNDDOWN((E7-2000)*(0.9-VLOOKUP(C33,税率表等!A6:G12,5,TRUE)*1.021)*0.6,0)&gt;ROUNDDOWN(F36*0.2,0),ROUNDDOWN(F36*0.2,0),ROUNDDOWN((E7-2000)*(0.9-VLOOKUP(C33,税率表等!A6:G12,5,TRUE)*1.021)*0.6,0))&lt;0,0,IF(ROUNDDOWN((E7-2000)*(0.9-VLOOKUP(C33,税率表等!A6:G12,5,TRUE)*1.021)*0.6,0)&gt;ROUNDDOWN(F36*0.2,0),ROUNDDOWN(F36*0.2,0),ROUNDDOWN((E7-2000)*(0.9-VLOOKUP(C33,税率表等!A6:G12,5,TRUE)*1.021)*0.6,0)))</f>
        <v>0</v>
      </c>
      <c r="G40" s="6"/>
      <c r="H40" s="6"/>
      <c r="I40" s="6">
        <f>+IF(IF(ROUNDDOWN((H7-2000)*(0.9-VLOOKUP(C33,税率表等!A6:G12,5,TRUE)*1.021)*0.4,0)&gt;ROUNDDOWN(I36*0.2,0),ROUNDDOWN(I36*0.2,0),ROUNDDOWN((H7-2000)*(0.9-VLOOKUP(C33,税率表等!A6:G12,5,TRUE)*1.021)*0.4,0))&lt;0,0,IF(ROUNDDOWN((H7-2000)*(0.9-VLOOKUP(C33,税率表等!A6:G12,5,TRUE)*1.021)*0.4,0)&gt;ROUNDDOWN(I36*0.2,0),ROUNDDOWN(I36*0.2,0),ROUNDDOWN((H7-2000)*(0.9-VLOOKUP(C33,税率表等!A6:G12,5,TRUE)*1.021)*0.4,0)))</f>
        <v>0</v>
      </c>
      <c r="J40" s="6"/>
      <c r="K40" s="7"/>
    </row>
    <row r="41" spans="1:11">
      <c r="A41" s="8" t="s">
        <v>12</v>
      </c>
      <c r="B41" s="6"/>
      <c r="C41" s="9" t="s">
        <v>10</v>
      </c>
      <c r="D41" s="6"/>
      <c r="E41" s="6"/>
      <c r="F41" s="6">
        <v>3500</v>
      </c>
      <c r="G41" s="6"/>
      <c r="H41" s="6"/>
      <c r="I41" s="6">
        <v>1500</v>
      </c>
      <c r="J41" s="6"/>
      <c r="K41" s="7"/>
    </row>
    <row r="42" spans="1:11">
      <c r="A42" s="8" t="s">
        <v>19</v>
      </c>
      <c r="B42" s="6"/>
      <c r="C42" s="6">
        <f>+C34-C37-C38</f>
        <v>331300</v>
      </c>
      <c r="D42" s="6"/>
      <c r="E42" s="6"/>
      <c r="F42" s="6">
        <f>+ROUNDDOWN(F36-F37-F38-F39-F40+F41,-2)</f>
        <v>357200</v>
      </c>
      <c r="G42" s="6"/>
      <c r="H42" s="6"/>
      <c r="I42" s="6">
        <f>+ROUNDDOWN(I36-I37-I38-I39-I40+I41,-2)</f>
        <v>237300</v>
      </c>
      <c r="J42" s="6"/>
      <c r="K42" s="7"/>
    </row>
    <row r="43" spans="1:11">
      <c r="A43" s="8" t="s">
        <v>6</v>
      </c>
      <c r="B43" s="6"/>
      <c r="C43" s="6">
        <f>+ROUNDDOWN(C42*0.021,0)</f>
        <v>6957</v>
      </c>
      <c r="D43" s="6"/>
      <c r="E43" s="6"/>
      <c r="F43" s="9" t="s">
        <v>10</v>
      </c>
      <c r="G43" s="9"/>
      <c r="H43" s="9"/>
      <c r="I43" s="9" t="s">
        <v>10</v>
      </c>
      <c r="J43" s="6"/>
      <c r="K43" s="7"/>
    </row>
    <row r="44" spans="1:11" ht="37.5">
      <c r="A44" s="10" t="s">
        <v>18</v>
      </c>
      <c r="B44" s="6"/>
      <c r="C44" s="6">
        <f>SUM(C42:C43)</f>
        <v>338257</v>
      </c>
      <c r="D44" s="6"/>
      <c r="E44" s="6"/>
      <c r="F44" s="6">
        <f>SUM(F42:F43)</f>
        <v>357200</v>
      </c>
      <c r="G44" s="6"/>
      <c r="H44" s="6"/>
      <c r="I44" s="6">
        <f>SUM(I42:I43)</f>
        <v>237300</v>
      </c>
      <c r="J44" s="6"/>
      <c r="K44" s="7">
        <f>SUM(C44:J44)</f>
        <v>932757</v>
      </c>
    </row>
    <row r="45" spans="1:11">
      <c r="A45" s="8"/>
      <c r="B45" s="6"/>
      <c r="C45" s="6"/>
      <c r="D45" s="6"/>
      <c r="E45" s="6"/>
      <c r="F45" s="6"/>
      <c r="G45" s="6"/>
      <c r="H45" s="6"/>
      <c r="I45" s="6"/>
      <c r="J45" s="6"/>
      <c r="K45" s="7"/>
    </row>
    <row r="46" spans="1:11" ht="37.5">
      <c r="A46" s="10" t="s">
        <v>20</v>
      </c>
      <c r="B46" s="6"/>
      <c r="C46" s="6">
        <f>+現況!C44</f>
        <v>338257</v>
      </c>
      <c r="D46" s="6"/>
      <c r="E46" s="6"/>
      <c r="F46" s="6">
        <f>+現況!F44</f>
        <v>357200</v>
      </c>
      <c r="G46" s="6"/>
      <c r="H46" s="6"/>
      <c r="I46" s="6">
        <f>+現況!I44</f>
        <v>237300</v>
      </c>
      <c r="J46" s="6"/>
      <c r="K46" s="7">
        <f>SUM(C46:I46)</f>
        <v>932757</v>
      </c>
    </row>
    <row r="47" spans="1:11" ht="37.5">
      <c r="A47" s="10" t="s">
        <v>21</v>
      </c>
      <c r="B47" s="6"/>
      <c r="C47" s="6">
        <f>+C44</f>
        <v>338257</v>
      </c>
      <c r="D47" s="6"/>
      <c r="E47" s="6"/>
      <c r="F47" s="6">
        <f>+F44</f>
        <v>357200</v>
      </c>
      <c r="G47" s="6"/>
      <c r="H47" s="6"/>
      <c r="I47" s="6">
        <f>+I44</f>
        <v>237300</v>
      </c>
      <c r="J47" s="6"/>
      <c r="K47" s="7">
        <f>SUM(C47:I47)</f>
        <v>932757</v>
      </c>
    </row>
    <row r="48" spans="1:11">
      <c r="A48" s="16" t="s">
        <v>22</v>
      </c>
      <c r="B48" s="17"/>
      <c r="C48" s="17">
        <f>+C46-C47</f>
        <v>0</v>
      </c>
      <c r="D48" s="17"/>
      <c r="E48" s="17"/>
      <c r="F48" s="17">
        <f>+F46-F47</f>
        <v>0</v>
      </c>
      <c r="G48" s="17"/>
      <c r="H48" s="17"/>
      <c r="I48" s="17">
        <f>+I46-I47</f>
        <v>0</v>
      </c>
      <c r="J48" s="17"/>
      <c r="K48" s="18">
        <f>SUM(C48:I48)</f>
        <v>0</v>
      </c>
    </row>
    <row r="49" spans="1:11">
      <c r="A49" s="8" t="s">
        <v>25</v>
      </c>
      <c r="B49" s="6"/>
      <c r="C49" s="6"/>
      <c r="D49" s="6"/>
      <c r="E49" s="6"/>
      <c r="F49" s="6"/>
      <c r="G49" s="6"/>
      <c r="H49" s="6"/>
      <c r="I49" s="6"/>
      <c r="J49" s="6"/>
      <c r="K49" s="7">
        <f>+B7</f>
        <v>0</v>
      </c>
    </row>
    <row r="50" spans="1:11">
      <c r="A50" s="8" t="s">
        <v>26</v>
      </c>
      <c r="B50" s="6"/>
      <c r="C50" s="6"/>
      <c r="D50" s="6"/>
      <c r="E50" s="6"/>
      <c r="F50" s="6"/>
      <c r="G50" s="6"/>
      <c r="H50" s="6"/>
      <c r="I50" s="6"/>
      <c r="J50" s="6"/>
      <c r="K50" s="7">
        <f>+K49-K48</f>
        <v>0</v>
      </c>
    </row>
    <row r="51" spans="1:11">
      <c r="A51" s="8" t="s">
        <v>27</v>
      </c>
      <c r="B51" s="6"/>
      <c r="C51" s="6"/>
      <c r="D51" s="6"/>
      <c r="E51" s="6"/>
      <c r="F51" s="6"/>
      <c r="G51" s="6"/>
      <c r="H51" s="6"/>
      <c r="I51" s="6"/>
      <c r="J51" s="6"/>
      <c r="K51" s="7">
        <f>+ROUNDDOWN(K49*0.3,0)</f>
        <v>0</v>
      </c>
    </row>
    <row r="52" spans="1:11" ht="19.5" thickBot="1">
      <c r="A52" s="60" t="s">
        <v>28</v>
      </c>
      <c r="B52" s="61"/>
      <c r="C52" s="61"/>
      <c r="D52" s="61"/>
      <c r="E52" s="61"/>
      <c r="F52" s="61"/>
      <c r="G52" s="61"/>
      <c r="H52" s="61"/>
      <c r="I52" s="61"/>
      <c r="J52" s="61"/>
      <c r="K52" s="62">
        <f>+K51-K50</f>
        <v>0</v>
      </c>
    </row>
    <row r="53" spans="1:11">
      <c r="A53" s="2"/>
      <c r="B53" s="3"/>
      <c r="C53" s="3"/>
      <c r="D53" s="3"/>
      <c r="E53" s="3"/>
      <c r="F53" s="3"/>
      <c r="G53" s="3"/>
      <c r="H53" s="3"/>
      <c r="I53" s="3"/>
      <c r="J53" s="3"/>
      <c r="K53" s="20"/>
    </row>
    <row r="54" spans="1:11" ht="19.5" thickBot="1">
      <c r="A54" s="14" t="s">
        <v>47</v>
      </c>
      <c r="B54" s="11">
        <f>IF(B9&lt;=1618999,B9,IF(B9&gt;=6600000,B9,ROUNDDOWN((B9-VLOOKUP(B9,税率表等!A30:G34,7,TRUE))/VLOOKUP(B9,税率表等!A30:G34,5,TRUE),0)*VLOOKUP(B9,税率表等!A30:G34,5,TRUE)+VLOOKUP(B9,税率表等!A30:G34,7,TRUE)))</f>
        <v>9894327</v>
      </c>
      <c r="C54" s="11"/>
      <c r="D54" s="11"/>
      <c r="E54" s="11"/>
      <c r="F54" s="11"/>
      <c r="G54" s="11"/>
      <c r="H54" s="11"/>
      <c r="I54" s="11"/>
      <c r="J54" s="11"/>
      <c r="K54" s="12"/>
    </row>
    <row r="55" spans="1:11">
      <c r="A55" s="2"/>
      <c r="B55" s="3"/>
      <c r="C55" s="3"/>
      <c r="D55" s="3"/>
      <c r="E55" s="3"/>
      <c r="F55" s="3"/>
      <c r="G55" s="3"/>
      <c r="H55" s="3"/>
      <c r="I55" s="3"/>
      <c r="J55" s="3"/>
      <c r="K55" s="20"/>
    </row>
    <row r="56" spans="1:11" ht="19.5" thickBot="1">
      <c r="A56" s="63" t="s">
        <v>65</v>
      </c>
      <c r="B56" s="64"/>
      <c r="C56" s="64"/>
      <c r="D56" s="64"/>
      <c r="E56" s="64"/>
      <c r="F56" s="64">
        <f>+ROUNDDOWN((F36+I36)*VLOOKUP(C33,税率表等!A38:G44,5,TRUE),0)</f>
        <v>169473</v>
      </c>
      <c r="G56" s="11"/>
      <c r="H56" s="11"/>
      <c r="I56" s="11"/>
      <c r="J56" s="11"/>
      <c r="K56" s="12"/>
    </row>
    <row r="57" spans="1:11" s="22" customFormat="1">
      <c r="A57" s="22" t="s">
        <v>71</v>
      </c>
    </row>
    <row r="58" spans="1:11" s="22" customFormat="1">
      <c r="A58" s="1" t="s">
        <v>78</v>
      </c>
    </row>
    <row r="59" spans="1:11" s="22" customFormat="1">
      <c r="A59" s="1" t="s">
        <v>79</v>
      </c>
    </row>
    <row r="60" spans="1:11" s="22" customFormat="1">
      <c r="A60" s="1" t="s">
        <v>80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headerFooter>
    <oddHeader>&amp;R&amp;D/&amp;T</oddHeader>
    <oddFooter>&amp;L&amp;F/&amp;A&amp;R&amp;P/&amp;N</oddFooter>
  </headerFooter>
  <ignoredErrors>
    <ignoredError sqref="K5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6281-6E9A-4B5A-9D93-8088DDC07198}">
  <sheetPr>
    <pageSetUpPr fitToPage="1"/>
  </sheetPr>
  <dimension ref="A1:H44"/>
  <sheetViews>
    <sheetView topLeftCell="A16" workbookViewId="0">
      <selection activeCell="E44" sqref="E44"/>
    </sheetView>
  </sheetViews>
  <sheetFormatPr defaultRowHeight="18.75"/>
  <cols>
    <col min="1" max="1" width="11.375" style="1" bestFit="1" customWidth="1"/>
    <col min="2" max="2" width="7.125" style="39" bestFit="1" customWidth="1"/>
    <col min="3" max="3" width="11.125" style="39" bestFit="1" customWidth="1"/>
    <col min="4" max="4" width="7.125" style="1" bestFit="1" customWidth="1"/>
    <col min="5" max="5" width="10.5" style="19" bestFit="1" customWidth="1"/>
    <col min="6" max="6" width="3.375" style="19" bestFit="1" customWidth="1"/>
    <col min="7" max="7" width="11" style="1" bestFit="1" customWidth="1"/>
    <col min="8" max="8" width="3.375" style="1" bestFit="1" customWidth="1"/>
    <col min="9" max="16384" width="9" style="1"/>
  </cols>
  <sheetData>
    <row r="1" spans="1:8">
      <c r="A1" s="1" t="s">
        <v>16</v>
      </c>
    </row>
    <row r="2" spans="1:8">
      <c r="A2" s="23">
        <v>44187</v>
      </c>
    </row>
    <row r="4" spans="1:8" ht="19.5" thickBot="1">
      <c r="A4" s="1" t="s">
        <v>41</v>
      </c>
    </row>
    <row r="5" spans="1:8">
      <c r="A5" s="48" t="s">
        <v>36</v>
      </c>
      <c r="B5" s="49"/>
      <c r="C5" s="49"/>
      <c r="D5" s="47"/>
      <c r="E5" s="46" t="s">
        <v>42</v>
      </c>
      <c r="F5" s="47"/>
      <c r="G5" s="44" t="s">
        <v>43</v>
      </c>
      <c r="H5" s="45"/>
    </row>
    <row r="6" spans="1:8">
      <c r="A6" s="35">
        <v>0</v>
      </c>
      <c r="B6" s="40" t="s">
        <v>37</v>
      </c>
      <c r="C6" s="40">
        <v>1950000</v>
      </c>
      <c r="D6" s="37" t="s">
        <v>38</v>
      </c>
      <c r="E6" s="30">
        <v>0.05</v>
      </c>
      <c r="F6" s="32"/>
      <c r="G6" s="28">
        <v>0</v>
      </c>
      <c r="H6" s="26" t="s">
        <v>40</v>
      </c>
    </row>
    <row r="7" spans="1:8">
      <c r="A7" s="35">
        <f>+C6</f>
        <v>1950000</v>
      </c>
      <c r="B7" s="40" t="s">
        <v>37</v>
      </c>
      <c r="C7" s="40">
        <v>3300000</v>
      </c>
      <c r="D7" s="37" t="s">
        <v>38</v>
      </c>
      <c r="E7" s="30">
        <v>0.1</v>
      </c>
      <c r="F7" s="32"/>
      <c r="G7" s="28">
        <v>97500</v>
      </c>
      <c r="H7" s="26" t="s">
        <v>40</v>
      </c>
    </row>
    <row r="8" spans="1:8">
      <c r="A8" s="35">
        <f t="shared" ref="A8:A12" si="0">+C7</f>
        <v>3300000</v>
      </c>
      <c r="B8" s="40" t="s">
        <v>37</v>
      </c>
      <c r="C8" s="40">
        <v>6950000</v>
      </c>
      <c r="D8" s="37" t="s">
        <v>38</v>
      </c>
      <c r="E8" s="30">
        <v>0.2</v>
      </c>
      <c r="F8" s="32"/>
      <c r="G8" s="28">
        <v>427500</v>
      </c>
      <c r="H8" s="26" t="s">
        <v>40</v>
      </c>
    </row>
    <row r="9" spans="1:8">
      <c r="A9" s="35">
        <f t="shared" si="0"/>
        <v>6950000</v>
      </c>
      <c r="B9" s="40" t="s">
        <v>37</v>
      </c>
      <c r="C9" s="40">
        <v>9000000</v>
      </c>
      <c r="D9" s="37" t="s">
        <v>38</v>
      </c>
      <c r="E9" s="30">
        <v>0.23</v>
      </c>
      <c r="F9" s="32"/>
      <c r="G9" s="28">
        <v>636000</v>
      </c>
      <c r="H9" s="26" t="s">
        <v>40</v>
      </c>
    </row>
    <row r="10" spans="1:8">
      <c r="A10" s="35">
        <f t="shared" si="0"/>
        <v>9000000</v>
      </c>
      <c r="B10" s="40" t="s">
        <v>37</v>
      </c>
      <c r="C10" s="40">
        <v>18000000</v>
      </c>
      <c r="D10" s="37" t="s">
        <v>38</v>
      </c>
      <c r="E10" s="30">
        <v>0.33</v>
      </c>
      <c r="F10" s="32"/>
      <c r="G10" s="28">
        <v>1536000</v>
      </c>
      <c r="H10" s="26" t="s">
        <v>40</v>
      </c>
    </row>
    <row r="11" spans="1:8">
      <c r="A11" s="35">
        <f t="shared" si="0"/>
        <v>18000000</v>
      </c>
      <c r="B11" s="40" t="s">
        <v>37</v>
      </c>
      <c r="C11" s="40">
        <v>40000000</v>
      </c>
      <c r="D11" s="37" t="s">
        <v>38</v>
      </c>
      <c r="E11" s="30">
        <v>0.4</v>
      </c>
      <c r="F11" s="32"/>
      <c r="G11" s="28">
        <v>2796000</v>
      </c>
      <c r="H11" s="26" t="s">
        <v>40</v>
      </c>
    </row>
    <row r="12" spans="1:8" ht="19.5" thickBot="1">
      <c r="A12" s="36">
        <f t="shared" si="0"/>
        <v>40000000</v>
      </c>
      <c r="B12" s="41" t="s">
        <v>37</v>
      </c>
      <c r="C12" s="41"/>
      <c r="D12" s="38"/>
      <c r="E12" s="31">
        <v>0.45</v>
      </c>
      <c r="F12" s="33"/>
      <c r="G12" s="29">
        <v>4796000</v>
      </c>
      <c r="H12" s="27" t="s">
        <v>40</v>
      </c>
    </row>
    <row r="13" spans="1:8">
      <c r="F13" s="34"/>
    </row>
    <row r="14" spans="1:8" ht="19.5" thickBot="1">
      <c r="A14" s="1" t="s">
        <v>1</v>
      </c>
      <c r="F14" s="34"/>
    </row>
    <row r="15" spans="1:8">
      <c r="A15" s="48" t="s">
        <v>0</v>
      </c>
      <c r="B15" s="49"/>
      <c r="C15" s="49"/>
      <c r="D15" s="47"/>
      <c r="E15" s="46" t="s">
        <v>44</v>
      </c>
      <c r="F15" s="47"/>
      <c r="G15" s="44" t="s">
        <v>43</v>
      </c>
      <c r="H15" s="45"/>
    </row>
    <row r="16" spans="1:8">
      <c r="A16" s="35">
        <v>1</v>
      </c>
      <c r="B16" s="40" t="s">
        <v>45</v>
      </c>
      <c r="C16" s="40">
        <v>550999</v>
      </c>
      <c r="D16" s="37" t="s">
        <v>38</v>
      </c>
      <c r="E16" s="50"/>
      <c r="F16" s="51"/>
      <c r="G16" s="28">
        <v>0</v>
      </c>
      <c r="H16" s="26" t="s">
        <v>40</v>
      </c>
    </row>
    <row r="17" spans="1:8">
      <c r="A17" s="35">
        <f>+C16+1</f>
        <v>551000</v>
      </c>
      <c r="B17" s="40" t="s">
        <v>46</v>
      </c>
      <c r="C17" s="40">
        <v>1618999</v>
      </c>
      <c r="D17" s="37" t="s">
        <v>38</v>
      </c>
      <c r="E17" s="30">
        <v>1</v>
      </c>
      <c r="F17" s="32"/>
      <c r="G17" s="28">
        <v>-550000</v>
      </c>
      <c r="H17" s="26" t="s">
        <v>40</v>
      </c>
    </row>
    <row r="18" spans="1:8">
      <c r="A18" s="35">
        <f t="shared" ref="A18:A26" si="1">+C17+1</f>
        <v>1619000</v>
      </c>
      <c r="B18" s="40" t="s">
        <v>46</v>
      </c>
      <c r="C18" s="40">
        <v>1619999</v>
      </c>
      <c r="D18" s="37" t="s">
        <v>38</v>
      </c>
      <c r="E18" s="30">
        <v>0.6</v>
      </c>
      <c r="F18" s="32"/>
      <c r="G18" s="28">
        <v>97600</v>
      </c>
      <c r="H18" s="26" t="s">
        <v>40</v>
      </c>
    </row>
    <row r="19" spans="1:8">
      <c r="A19" s="35">
        <f t="shared" si="1"/>
        <v>1620000</v>
      </c>
      <c r="B19" s="40" t="s">
        <v>46</v>
      </c>
      <c r="C19" s="40">
        <v>1621999</v>
      </c>
      <c r="D19" s="37" t="s">
        <v>38</v>
      </c>
      <c r="E19" s="30">
        <v>0.6</v>
      </c>
      <c r="F19" s="32"/>
      <c r="G19" s="28">
        <v>98000</v>
      </c>
      <c r="H19" s="26" t="s">
        <v>40</v>
      </c>
    </row>
    <row r="20" spans="1:8">
      <c r="A20" s="35">
        <f t="shared" si="1"/>
        <v>1622000</v>
      </c>
      <c r="B20" s="40" t="s">
        <v>46</v>
      </c>
      <c r="C20" s="40">
        <v>1623999</v>
      </c>
      <c r="D20" s="37" t="s">
        <v>38</v>
      </c>
      <c r="E20" s="30">
        <v>0.6</v>
      </c>
      <c r="F20" s="32"/>
      <c r="G20" s="28">
        <v>98800</v>
      </c>
      <c r="H20" s="26" t="s">
        <v>40</v>
      </c>
    </row>
    <row r="21" spans="1:8">
      <c r="A21" s="35">
        <f t="shared" si="1"/>
        <v>1624000</v>
      </c>
      <c r="B21" s="40" t="s">
        <v>46</v>
      </c>
      <c r="C21" s="40">
        <v>1627999</v>
      </c>
      <c r="D21" s="37" t="s">
        <v>38</v>
      </c>
      <c r="E21" s="30">
        <v>0.6</v>
      </c>
      <c r="F21" s="32"/>
      <c r="G21" s="28">
        <v>99600</v>
      </c>
      <c r="H21" s="26" t="s">
        <v>40</v>
      </c>
    </row>
    <row r="22" spans="1:8">
      <c r="A22" s="35">
        <f t="shared" si="1"/>
        <v>1628000</v>
      </c>
      <c r="B22" s="40" t="s">
        <v>46</v>
      </c>
      <c r="C22" s="40">
        <v>1799999</v>
      </c>
      <c r="D22" s="37" t="s">
        <v>38</v>
      </c>
      <c r="E22" s="30">
        <v>0.6</v>
      </c>
      <c r="F22" s="32"/>
      <c r="G22" s="28">
        <v>100000</v>
      </c>
      <c r="H22" s="26" t="s">
        <v>39</v>
      </c>
    </row>
    <row r="23" spans="1:8">
      <c r="A23" s="35">
        <f t="shared" si="1"/>
        <v>1800000</v>
      </c>
      <c r="B23" s="40" t="s">
        <v>46</v>
      </c>
      <c r="C23" s="40">
        <v>3599999</v>
      </c>
      <c r="D23" s="37" t="s">
        <v>38</v>
      </c>
      <c r="E23" s="30">
        <v>0.7</v>
      </c>
      <c r="F23" s="32"/>
      <c r="G23" s="28">
        <v>-80000</v>
      </c>
      <c r="H23" s="26" t="s">
        <v>39</v>
      </c>
    </row>
    <row r="24" spans="1:8">
      <c r="A24" s="35">
        <f t="shared" si="1"/>
        <v>3600000</v>
      </c>
      <c r="B24" s="40" t="s">
        <v>46</v>
      </c>
      <c r="C24" s="40">
        <v>6599999</v>
      </c>
      <c r="D24" s="37" t="s">
        <v>38</v>
      </c>
      <c r="E24" s="30">
        <v>0.8</v>
      </c>
      <c r="F24" s="32"/>
      <c r="G24" s="28">
        <v>-440000</v>
      </c>
      <c r="H24" s="26" t="s">
        <v>39</v>
      </c>
    </row>
    <row r="25" spans="1:8">
      <c r="A25" s="35">
        <f t="shared" si="1"/>
        <v>6600000</v>
      </c>
      <c r="B25" s="40" t="s">
        <v>46</v>
      </c>
      <c r="C25" s="40">
        <v>8499999</v>
      </c>
      <c r="D25" s="37" t="s">
        <v>38</v>
      </c>
      <c r="E25" s="30">
        <v>0.9</v>
      </c>
      <c r="F25" s="32"/>
      <c r="G25" s="28">
        <v>-1100000</v>
      </c>
      <c r="H25" s="26" t="s">
        <v>39</v>
      </c>
    </row>
    <row r="26" spans="1:8" ht="19.5" thickBot="1">
      <c r="A26" s="36">
        <f t="shared" si="1"/>
        <v>8500000</v>
      </c>
      <c r="B26" s="41" t="s">
        <v>46</v>
      </c>
      <c r="C26" s="41"/>
      <c r="D26" s="38"/>
      <c r="E26" s="31">
        <v>1</v>
      </c>
      <c r="F26" s="33"/>
      <c r="G26" s="29">
        <v>-1950000</v>
      </c>
      <c r="H26" s="27" t="s">
        <v>39</v>
      </c>
    </row>
    <row r="27" spans="1:8">
      <c r="A27" s="25"/>
      <c r="B27" s="25"/>
      <c r="F27" s="34"/>
    </row>
    <row r="28" spans="1:8" ht="19.5" thickBot="1">
      <c r="A28" s="1" t="s">
        <v>47</v>
      </c>
      <c r="F28" s="34"/>
    </row>
    <row r="29" spans="1:8" ht="39.950000000000003" customHeight="1">
      <c r="A29" s="48" t="s">
        <v>0</v>
      </c>
      <c r="B29" s="49"/>
      <c r="C29" s="49"/>
      <c r="D29" s="47"/>
      <c r="E29" s="46" t="s">
        <v>48</v>
      </c>
      <c r="F29" s="47"/>
      <c r="G29" s="54" t="s">
        <v>49</v>
      </c>
      <c r="H29" s="45"/>
    </row>
    <row r="30" spans="1:8">
      <c r="A30" s="35">
        <v>1</v>
      </c>
      <c r="B30" s="40" t="s">
        <v>45</v>
      </c>
      <c r="C30" s="40">
        <v>1618999</v>
      </c>
      <c r="D30" s="37" t="s">
        <v>38</v>
      </c>
      <c r="E30" s="50"/>
      <c r="F30" s="51"/>
      <c r="G30" s="52"/>
      <c r="H30" s="53"/>
    </row>
    <row r="31" spans="1:8">
      <c r="A31" s="35">
        <f>+C30+1</f>
        <v>1619000</v>
      </c>
      <c r="B31" s="40" t="s">
        <v>46</v>
      </c>
      <c r="C31" s="40">
        <v>1619999</v>
      </c>
      <c r="D31" s="37" t="s">
        <v>38</v>
      </c>
      <c r="E31" s="28">
        <v>1000</v>
      </c>
      <c r="F31" s="32" t="s">
        <v>40</v>
      </c>
      <c r="G31" s="28">
        <v>1619000</v>
      </c>
      <c r="H31" s="26" t="s">
        <v>40</v>
      </c>
    </row>
    <row r="32" spans="1:8">
      <c r="A32" s="35">
        <f>+C31+1</f>
        <v>1620000</v>
      </c>
      <c r="B32" s="40" t="s">
        <v>46</v>
      </c>
      <c r="C32" s="40">
        <v>1623999</v>
      </c>
      <c r="D32" s="37" t="s">
        <v>38</v>
      </c>
      <c r="E32" s="28">
        <v>2000</v>
      </c>
      <c r="F32" s="32" t="s">
        <v>40</v>
      </c>
      <c r="G32" s="28">
        <v>1620000</v>
      </c>
      <c r="H32" s="26" t="s">
        <v>40</v>
      </c>
    </row>
    <row r="33" spans="1:8">
      <c r="A33" s="35">
        <f t="shared" ref="A33:A34" si="2">+C32+1</f>
        <v>1624000</v>
      </c>
      <c r="B33" s="40" t="s">
        <v>46</v>
      </c>
      <c r="C33" s="40">
        <v>6599999</v>
      </c>
      <c r="D33" s="37" t="s">
        <v>38</v>
      </c>
      <c r="E33" s="28">
        <v>4000</v>
      </c>
      <c r="F33" s="32" t="s">
        <v>40</v>
      </c>
      <c r="G33" s="28">
        <v>1624000</v>
      </c>
      <c r="H33" s="26" t="s">
        <v>40</v>
      </c>
    </row>
    <row r="34" spans="1:8" ht="19.5" thickBot="1">
      <c r="A34" s="36">
        <f t="shared" si="2"/>
        <v>6600000</v>
      </c>
      <c r="B34" s="41" t="s">
        <v>46</v>
      </c>
      <c r="C34" s="41"/>
      <c r="D34" s="38"/>
      <c r="E34" s="55"/>
      <c r="F34" s="56"/>
      <c r="G34" s="55"/>
      <c r="H34" s="57"/>
    </row>
    <row r="36" spans="1:8" ht="19.5" thickBot="1">
      <c r="A36" s="1" t="s">
        <v>63</v>
      </c>
    </row>
    <row r="37" spans="1:8">
      <c r="A37" s="48" t="s">
        <v>36</v>
      </c>
      <c r="B37" s="49"/>
      <c r="C37" s="49"/>
      <c r="D37" s="47"/>
      <c r="E37" s="46" t="s">
        <v>44</v>
      </c>
      <c r="F37" s="47"/>
      <c r="G37" s="44" t="s">
        <v>64</v>
      </c>
      <c r="H37" s="45"/>
    </row>
    <row r="38" spans="1:8">
      <c r="A38" s="35">
        <v>0</v>
      </c>
      <c r="B38" s="40" t="s">
        <v>37</v>
      </c>
      <c r="C38" s="40">
        <v>1950000</v>
      </c>
      <c r="D38" s="37" t="s">
        <v>38</v>
      </c>
      <c r="E38" s="42">
        <f>0.2/(0.9-0.05*1.021)</f>
        <v>0.23558513457800814</v>
      </c>
      <c r="F38" s="32"/>
      <c r="G38" s="28">
        <v>0</v>
      </c>
      <c r="H38" s="26" t="s">
        <v>40</v>
      </c>
    </row>
    <row r="39" spans="1:8">
      <c r="A39" s="35">
        <f>+C38</f>
        <v>1950000</v>
      </c>
      <c r="B39" s="40" t="s">
        <v>37</v>
      </c>
      <c r="C39" s="40">
        <v>3300000</v>
      </c>
      <c r="D39" s="37" t="s">
        <v>38</v>
      </c>
      <c r="E39" s="42">
        <f>0.2/(0.9-0.1*1.021)</f>
        <v>0.25065797719012406</v>
      </c>
      <c r="F39" s="32"/>
      <c r="G39" s="28">
        <v>97500</v>
      </c>
      <c r="H39" s="26" t="s">
        <v>40</v>
      </c>
    </row>
    <row r="40" spans="1:8">
      <c r="A40" s="35">
        <f t="shared" ref="A40:A44" si="3">+C39</f>
        <v>3300000</v>
      </c>
      <c r="B40" s="40" t="s">
        <v>37</v>
      </c>
      <c r="C40" s="40">
        <v>6950000</v>
      </c>
      <c r="D40" s="37" t="s">
        <v>38</v>
      </c>
      <c r="E40" s="42">
        <f>0.2/(0.9-0.2*1.021)</f>
        <v>0.28743891922966375</v>
      </c>
      <c r="F40" s="32"/>
      <c r="G40" s="28">
        <v>427500</v>
      </c>
      <c r="H40" s="26" t="s">
        <v>40</v>
      </c>
    </row>
    <row r="41" spans="1:8">
      <c r="A41" s="35">
        <f t="shared" si="3"/>
        <v>6950000</v>
      </c>
      <c r="B41" s="40" t="s">
        <v>37</v>
      </c>
      <c r="C41" s="40">
        <v>9000000</v>
      </c>
      <c r="D41" s="37" t="s">
        <v>38</v>
      </c>
      <c r="E41" s="42">
        <f>0.2/(0.9-0.23*1.021)</f>
        <v>0.30067501540959451</v>
      </c>
      <c r="F41" s="32"/>
      <c r="G41" s="28">
        <v>636000</v>
      </c>
      <c r="H41" s="26" t="s">
        <v>40</v>
      </c>
    </row>
    <row r="42" spans="1:8">
      <c r="A42" s="35">
        <f t="shared" si="3"/>
        <v>9000000</v>
      </c>
      <c r="B42" s="40" t="s">
        <v>37</v>
      </c>
      <c r="C42" s="40">
        <v>18000000</v>
      </c>
      <c r="D42" s="37" t="s">
        <v>38</v>
      </c>
      <c r="E42" s="42">
        <f>0.2/(0.9-0.33*1.021)</f>
        <v>0.3551956239899125</v>
      </c>
      <c r="F42" s="32"/>
      <c r="G42" s="28">
        <v>1536000</v>
      </c>
      <c r="H42" s="26" t="s">
        <v>40</v>
      </c>
    </row>
    <row r="43" spans="1:8">
      <c r="A43" s="35">
        <f t="shared" si="3"/>
        <v>18000000</v>
      </c>
      <c r="B43" s="40" t="s">
        <v>37</v>
      </c>
      <c r="C43" s="40">
        <v>40000000</v>
      </c>
      <c r="D43" s="37" t="s">
        <v>38</v>
      </c>
      <c r="E43" s="42">
        <f>0.2/(0.9-0.4*1.021)</f>
        <v>0.4068348250610252</v>
      </c>
      <c r="F43" s="32"/>
      <c r="G43" s="28">
        <v>2796000</v>
      </c>
      <c r="H43" s="26" t="s">
        <v>40</v>
      </c>
    </row>
    <row r="44" spans="1:8" ht="19.5" thickBot="1">
      <c r="A44" s="36">
        <f t="shared" si="3"/>
        <v>40000000</v>
      </c>
      <c r="B44" s="41" t="s">
        <v>37</v>
      </c>
      <c r="C44" s="41"/>
      <c r="D44" s="38"/>
      <c r="E44" s="43">
        <f>0.2/(0.9-0.45*1.021)</f>
        <v>0.45397798206786966</v>
      </c>
      <c r="F44" s="33"/>
      <c r="G44" s="29">
        <v>4796000</v>
      </c>
      <c r="H44" s="27" t="s">
        <v>40</v>
      </c>
    </row>
  </sheetData>
  <mergeCells count="17">
    <mergeCell ref="A37:D37"/>
    <mergeCell ref="E37:F37"/>
    <mergeCell ref="G37:H37"/>
    <mergeCell ref="A29:D29"/>
    <mergeCell ref="G15:H15"/>
    <mergeCell ref="E15:F15"/>
    <mergeCell ref="A15:D15"/>
    <mergeCell ref="E34:F34"/>
    <mergeCell ref="G34:H34"/>
    <mergeCell ref="G5:H5"/>
    <mergeCell ref="E5:F5"/>
    <mergeCell ref="A5:D5"/>
    <mergeCell ref="E16:F16"/>
    <mergeCell ref="E30:F30"/>
    <mergeCell ref="G30:H30"/>
    <mergeCell ref="G29:H29"/>
    <mergeCell ref="E29:F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&amp;R&amp;D/&amp;T</oddHeader>
    <oddFooter>&amp;L&amp;F/&amp;A&amp;R&amp;P/&amp;N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現況</vt:lpstr>
      <vt:lpstr>ふるさと納税実施</vt:lpstr>
      <vt:lpstr>税率表等</vt:lpstr>
      <vt:lpstr>ふるさと納税実施!Print_Area</vt:lpstr>
      <vt:lpstr>現況!Print_Area</vt:lpstr>
      <vt:lpstr>税率表等!Print_Area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半田康二</dc:creator>
  <cp:lastModifiedBy>半田康二</cp:lastModifiedBy>
  <cp:lastPrinted>2020-12-22T16:28:29Z</cp:lastPrinted>
  <dcterms:created xsi:type="dcterms:W3CDTF">2020-10-10T07:37:42Z</dcterms:created>
  <dcterms:modified xsi:type="dcterms:W3CDTF">2021-01-07T08:41:40Z</dcterms:modified>
</cp:coreProperties>
</file>